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210" windowWidth="19035" windowHeight="6825" activeTab="14"/>
  </bookViews>
  <sheets>
    <sheet name="1" sheetId="27" r:id="rId1"/>
    <sheet name="5" sheetId="29" r:id="rId2"/>
    <sheet name="9" sheetId="69" r:id="rId3"/>
    <sheet name="11" sheetId="71" r:id="rId4"/>
    <sheet name="13+" sheetId="76" r:id="rId5"/>
    <sheet name="15" sheetId="33" r:id="rId6"/>
    <sheet name="16" sheetId="57" r:id="rId7"/>
    <sheet name="17" sheetId="36" r:id="rId8"/>
    <sheet name="18+" sheetId="37" r:id="rId9"/>
    <sheet name="19+" sheetId="34" r:id="rId10"/>
    <sheet name="20" sheetId="35" r:id="rId11"/>
    <sheet name="5 (2)" sheetId="77" r:id="rId12"/>
    <sheet name="резервный" sheetId="75" r:id="rId13"/>
    <sheet name="Лист2" sheetId="78" r:id="rId14"/>
    <sheet name="Пособии" sheetId="79" r:id="rId15"/>
  </sheets>
  <externalReferences>
    <externalReference r:id="rId16"/>
    <externalReference r:id="rId17"/>
    <externalReference r:id="rId18"/>
  </externalReferences>
  <definedNames>
    <definedName name="_xlnm._FilterDatabase" localSheetId="3" hidden="1">'11'!$A$17:$IT$657</definedName>
    <definedName name="_xlnm._FilterDatabase" localSheetId="2" hidden="1">'9'!$A$19:$II$623</definedName>
    <definedName name="_xlnm.Print_Titles" localSheetId="3">'11'!$17:$17</definedName>
    <definedName name="_xlnm.Print_Titles" localSheetId="4">'13+'!$18:$18</definedName>
    <definedName name="_xlnm.Print_Titles" localSheetId="2">'9'!$17:$17</definedName>
    <definedName name="_xlnm.Print_Area" localSheetId="0">'1'!$A$1:$E$26</definedName>
    <definedName name="_xlnm.Print_Area" localSheetId="3">'11'!$A$1:$AH$657</definedName>
    <definedName name="_xlnm.Print_Area" localSheetId="4">'13+'!$A$1:$Q$582</definedName>
    <definedName name="_xlnm.Print_Area" localSheetId="5">'15'!$A$1:$E$18</definedName>
    <definedName name="_xlnm.Print_Area" localSheetId="6">'16'!$A$1:$E$18</definedName>
    <definedName name="_xlnm.Print_Area" localSheetId="7">'17'!$A$1:$E$18</definedName>
    <definedName name="_xlnm.Print_Area" localSheetId="8">'18+'!$A$1:$E$18</definedName>
    <definedName name="_xlnm.Print_Area" localSheetId="9">'19+'!$A$1:$E$18</definedName>
    <definedName name="_xlnm.Print_Area" localSheetId="10">'20'!$A$1:$E$17</definedName>
    <definedName name="_xlnm.Print_Area" localSheetId="1">'5'!$A$1:$E$94</definedName>
    <definedName name="_xlnm.Print_Area" localSheetId="11">'5 (2)'!$A$1:$E$96</definedName>
    <definedName name="_xlnm.Print_Area" localSheetId="2">'9'!$A$1:$W$625</definedName>
    <definedName name="_xlnm.Print_Area" localSheetId="14">Пособии!$A$1:$W$19</definedName>
    <definedName name="_xlnm.Print_Area" localSheetId="12">резервный!$A$1:$F$22</definedName>
  </definedNames>
  <calcPr calcId="145621"/>
</workbook>
</file>

<file path=xl/calcChain.xml><?xml version="1.0" encoding="utf-8"?>
<calcChain xmlns="http://schemas.openxmlformats.org/spreadsheetml/2006/main">
  <c r="L19" i="79" l="1"/>
  <c r="O19" i="79"/>
  <c r="R19" i="79"/>
  <c r="U19" i="79"/>
  <c r="V19" i="79"/>
  <c r="W19" i="79"/>
  <c r="I19" i="79" s="1"/>
  <c r="T19" i="79"/>
  <c r="S19" i="79"/>
  <c r="Q19" i="79"/>
  <c r="P19" i="79"/>
  <c r="N19" i="79"/>
  <c r="M19" i="79"/>
  <c r="K19" i="79"/>
  <c r="J19" i="79"/>
  <c r="H19" i="79"/>
  <c r="G19" i="79"/>
  <c r="E19" i="79"/>
  <c r="D19" i="79"/>
  <c r="E5" i="79"/>
  <c r="F19" i="79" l="1"/>
  <c r="W18" i="79"/>
  <c r="X18" i="79" s="1"/>
  <c r="V18" i="79"/>
  <c r="U18" i="79"/>
  <c r="C18" i="79"/>
  <c r="A18" i="79"/>
  <c r="V17" i="79"/>
  <c r="T17" i="79"/>
  <c r="U17" i="79" s="1"/>
  <c r="Q17" i="79"/>
  <c r="N17" i="79"/>
  <c r="O17" i="79" s="1"/>
  <c r="K17" i="79"/>
  <c r="H17" i="79"/>
  <c r="I17" i="79" s="1"/>
  <c r="E17" i="79"/>
  <c r="W17" i="79" s="1"/>
  <c r="X17" i="79" s="1"/>
  <c r="C17" i="79"/>
  <c r="B17" i="79"/>
  <c r="W16" i="79"/>
  <c r="X16" i="79" s="1"/>
  <c r="V16" i="79"/>
  <c r="U16" i="79"/>
  <c r="O16" i="79"/>
  <c r="I16" i="79"/>
  <c r="S15" i="79"/>
  <c r="Q15" i="79"/>
  <c r="P15" i="79"/>
  <c r="N15" i="79"/>
  <c r="M15" i="79"/>
  <c r="K15" i="79"/>
  <c r="J15" i="79"/>
  <c r="H15" i="79"/>
  <c r="G15" i="79"/>
  <c r="V15" i="79" s="1"/>
  <c r="E15" i="79"/>
  <c r="W15" i="79" s="1"/>
  <c r="B15" i="79"/>
  <c r="W14" i="79"/>
  <c r="V14" i="79"/>
  <c r="U14" i="79"/>
  <c r="R14" i="79"/>
  <c r="O14" i="79"/>
  <c r="L14" i="79"/>
  <c r="I14" i="79"/>
  <c r="F14" i="79"/>
  <c r="C14" i="79"/>
  <c r="X14" i="79" s="1"/>
  <c r="B14" i="79"/>
  <c r="W13" i="79"/>
  <c r="X13" i="79" s="1"/>
  <c r="V13" i="79"/>
  <c r="U13" i="79"/>
  <c r="O13" i="79"/>
  <c r="I13" i="79"/>
  <c r="X12" i="79"/>
  <c r="W12" i="79"/>
  <c r="V12" i="79"/>
  <c r="U12" i="79"/>
  <c r="R12" i="79"/>
  <c r="O12" i="79"/>
  <c r="L12" i="79"/>
  <c r="I12" i="79"/>
  <c r="F12" i="79"/>
  <c r="W11" i="79"/>
  <c r="X11" i="79" s="1"/>
  <c r="V11" i="79"/>
  <c r="U11" i="79"/>
  <c r="O11" i="79"/>
  <c r="I11" i="79"/>
  <c r="X10" i="79"/>
  <c r="W10" i="79"/>
  <c r="V10" i="79"/>
  <c r="U10" i="79"/>
  <c r="R10" i="79"/>
  <c r="O10" i="79"/>
  <c r="L10" i="79"/>
  <c r="I10" i="79"/>
  <c r="F10" i="79"/>
  <c r="W9" i="79"/>
  <c r="X9" i="79" s="1"/>
  <c r="V9" i="79"/>
  <c r="U9" i="79"/>
  <c r="O9" i="79"/>
  <c r="I9" i="79"/>
  <c r="C9" i="79"/>
  <c r="B9" i="79"/>
  <c r="X8" i="79"/>
  <c r="W8" i="79"/>
  <c r="V8" i="79"/>
  <c r="U8" i="79"/>
  <c r="R8" i="79"/>
  <c r="O8" i="79"/>
  <c r="L8" i="79"/>
  <c r="I8" i="79"/>
  <c r="F8" i="79"/>
  <c r="W7" i="79"/>
  <c r="X7" i="79" s="1"/>
  <c r="V7" i="79"/>
  <c r="U7" i="79"/>
  <c r="O7" i="79"/>
  <c r="I7" i="79"/>
  <c r="F7" i="79"/>
  <c r="B7" i="79"/>
  <c r="W6" i="79"/>
  <c r="X6" i="79" s="1"/>
  <c r="V6" i="79"/>
  <c r="U6" i="79"/>
  <c r="O6" i="79"/>
  <c r="I6" i="79"/>
  <c r="W5" i="79"/>
  <c r="X5" i="79" s="1"/>
  <c r="V5" i="79"/>
  <c r="B5" i="79"/>
  <c r="W4" i="79"/>
  <c r="R4" i="79" s="1"/>
  <c r="V4" i="79"/>
  <c r="U4" i="79"/>
  <c r="I4" i="79"/>
  <c r="F4" i="79"/>
  <c r="C4" i="79"/>
  <c r="X4" i="79" s="1"/>
  <c r="B4" i="79"/>
  <c r="W3" i="79"/>
  <c r="X3" i="79" s="1"/>
  <c r="V3" i="79"/>
  <c r="U3" i="79"/>
  <c r="O3" i="79"/>
  <c r="I3" i="79"/>
  <c r="C3" i="79"/>
  <c r="B3" i="79"/>
  <c r="I18" i="79" l="1"/>
  <c r="O18" i="79"/>
  <c r="O4" i="79"/>
  <c r="L4" i="79"/>
  <c r="U5" i="79"/>
  <c r="I5" i="79"/>
  <c r="O5" i="79"/>
  <c r="F5" i="79"/>
  <c r="L5" i="79"/>
  <c r="R5" i="79"/>
  <c r="U15" i="79"/>
  <c r="X15" i="79"/>
  <c r="O15" i="79"/>
  <c r="I15" i="79"/>
  <c r="L15" i="79"/>
  <c r="R15" i="79"/>
  <c r="L17" i="79"/>
  <c r="R17" i="79"/>
  <c r="F3" i="79"/>
  <c r="L3" i="79"/>
  <c r="R3" i="79"/>
  <c r="F6" i="79"/>
  <c r="L6" i="79"/>
  <c r="R6" i="79"/>
  <c r="L7" i="79"/>
  <c r="R7" i="79"/>
  <c r="F9" i="79"/>
  <c r="L9" i="79"/>
  <c r="R9" i="79"/>
  <c r="F11" i="79"/>
  <c r="L11" i="79"/>
  <c r="R11" i="79"/>
  <c r="F13" i="79"/>
  <c r="L13" i="79"/>
  <c r="R13" i="79"/>
  <c r="F15" i="79"/>
  <c r="F16" i="79"/>
  <c r="L16" i="79"/>
  <c r="R16" i="79"/>
  <c r="F17" i="79"/>
  <c r="F18" i="79"/>
  <c r="L18" i="79"/>
  <c r="R18" i="79"/>
  <c r="G135" i="78"/>
  <c r="D135" i="78"/>
  <c r="E148" i="78"/>
  <c r="E149" i="78"/>
  <c r="D149" i="78"/>
  <c r="D148" i="78"/>
  <c r="F149" i="78"/>
  <c r="E147" i="78"/>
  <c r="D147" i="78"/>
  <c r="E146" i="78"/>
  <c r="D146" i="78"/>
  <c r="F144" i="78"/>
  <c r="F145" i="78"/>
  <c r="E145" i="78"/>
  <c r="D145" i="78"/>
  <c r="E143" i="78"/>
  <c r="D143" i="78"/>
  <c r="E142" i="78"/>
  <c r="D142" i="78"/>
  <c r="E141" i="78"/>
  <c r="D141" i="78"/>
  <c r="E140" i="78"/>
  <c r="D140" i="78"/>
  <c r="E139" i="78"/>
  <c r="D139" i="78"/>
  <c r="E138" i="78"/>
  <c r="D138" i="78"/>
  <c r="E137" i="78"/>
  <c r="D137" i="78"/>
  <c r="D136" i="78"/>
  <c r="B136" i="78"/>
  <c r="F148" i="78" l="1"/>
  <c r="C8" i="78" l="1"/>
  <c r="D8" i="78"/>
  <c r="C9" i="78"/>
  <c r="D9" i="78"/>
  <c r="E9" i="78"/>
  <c r="G9" i="78"/>
  <c r="H9" i="78"/>
  <c r="C10" i="78"/>
  <c r="D10" i="78"/>
  <c r="E10" i="78" s="1"/>
  <c r="C12" i="78"/>
  <c r="D12" i="78"/>
  <c r="C13" i="78"/>
  <c r="D13" i="78"/>
  <c r="E13" i="78"/>
  <c r="C14" i="78"/>
  <c r="D14" i="78"/>
  <c r="E14" i="78" s="1"/>
  <c r="C16" i="78"/>
  <c r="D16" i="78"/>
  <c r="E16" i="78"/>
  <c r="C17" i="78"/>
  <c r="D17" i="78"/>
  <c r="E17" i="78" s="1"/>
  <c r="C19" i="78"/>
  <c r="D19" i="78"/>
  <c r="C20" i="78"/>
  <c r="D20" i="78"/>
  <c r="E20" i="78"/>
  <c r="C21" i="78"/>
  <c r="D21" i="78"/>
  <c r="E21" i="78"/>
  <c r="E22" i="78"/>
  <c r="C23" i="78"/>
  <c r="D23" i="78"/>
  <c r="E23" i="78" s="1"/>
  <c r="C24" i="78"/>
  <c r="D24" i="78"/>
  <c r="E24" i="78" s="1"/>
  <c r="C26" i="78"/>
  <c r="D26" i="78"/>
  <c r="E26" i="78"/>
  <c r="C27" i="78"/>
  <c r="D27" i="78"/>
  <c r="E27" i="78" s="1"/>
  <c r="C28" i="78"/>
  <c r="D28" i="78"/>
  <c r="E30" i="78"/>
  <c r="C31" i="78"/>
  <c r="D31" i="78"/>
  <c r="C32" i="78"/>
  <c r="D32" i="78"/>
  <c r="E32" i="78"/>
  <c r="C33" i="78"/>
  <c r="D33" i="78"/>
  <c r="E33" i="78" s="1"/>
  <c r="C34" i="78"/>
  <c r="D34" i="78"/>
  <c r="E34" i="78" s="1"/>
  <c r="C35" i="78"/>
  <c r="D35" i="78"/>
  <c r="E35" i="78"/>
  <c r="E36" i="78"/>
  <c r="C37" i="78"/>
  <c r="D37" i="78"/>
  <c r="E37" i="78"/>
  <c r="C38" i="78"/>
  <c r="D38" i="78"/>
  <c r="F69" i="78"/>
  <c r="F70" i="78"/>
  <c r="C71" i="78"/>
  <c r="E71" i="78"/>
  <c r="F71" i="78"/>
  <c r="F72" i="78"/>
  <c r="C73" i="78"/>
  <c r="D73" i="78"/>
  <c r="E73" i="78"/>
  <c r="F73" i="78" s="1"/>
  <c r="D87" i="78"/>
  <c r="E87" i="78"/>
  <c r="C88" i="78"/>
  <c r="C89" i="78"/>
  <c r="C87" i="78" s="1"/>
  <c r="C90" i="78"/>
  <c r="D91" i="78"/>
  <c r="E91" i="78"/>
  <c r="C92" i="78"/>
  <c r="C93" i="78"/>
  <c r="C91" i="78" s="1"/>
  <c r="C94" i="78"/>
  <c r="D95" i="78"/>
  <c r="E95" i="78"/>
  <c r="C96" i="78"/>
  <c r="C97" i="78"/>
  <c r="C95" i="78" s="1"/>
  <c r="C98" i="78"/>
  <c r="D99" i="78"/>
  <c r="E99" i="78"/>
  <c r="E105" i="78"/>
  <c r="E106" i="78"/>
  <c r="E107" i="78"/>
  <c r="C108" i="78"/>
  <c r="D108" i="78"/>
  <c r="E108" i="78"/>
  <c r="G115" i="78"/>
  <c r="F116" i="78"/>
  <c r="G116" i="78"/>
  <c r="F117" i="78"/>
  <c r="G117" i="78"/>
  <c r="G118" i="78"/>
  <c r="F119" i="78"/>
  <c r="G119" i="78" s="1"/>
  <c r="G120" i="78" s="1"/>
  <c r="D120" i="78"/>
  <c r="E120" i="78"/>
  <c r="F120" i="78"/>
  <c r="F137" i="78"/>
  <c r="F138" i="78"/>
  <c r="F139" i="78"/>
  <c r="F140" i="78"/>
  <c r="F141" i="78"/>
  <c r="F142" i="78"/>
  <c r="F143" i="78"/>
  <c r="G137" i="78"/>
  <c r="F146" i="78"/>
  <c r="F147" i="78"/>
  <c r="O521" i="76"/>
  <c r="P521" i="76"/>
  <c r="H521" i="76"/>
  <c r="I521" i="76"/>
  <c r="J521" i="76"/>
  <c r="G521" i="76"/>
  <c r="B521" i="76"/>
  <c r="P520" i="76"/>
  <c r="O520" i="76"/>
  <c r="J520" i="76"/>
  <c r="I520" i="76"/>
  <c r="H520" i="76"/>
  <c r="G520" i="76"/>
  <c r="B520" i="76"/>
  <c r="R516" i="76"/>
  <c r="O527" i="76"/>
  <c r="P527" i="76"/>
  <c r="O528" i="76"/>
  <c r="P528" i="76"/>
  <c r="O529" i="76"/>
  <c r="Q529" i="76" s="1"/>
  <c r="P529" i="76"/>
  <c r="H527" i="76"/>
  <c r="I527" i="76"/>
  <c r="J527" i="76"/>
  <c r="H528" i="76"/>
  <c r="I528" i="76"/>
  <c r="J528" i="76"/>
  <c r="H529" i="76"/>
  <c r="I529" i="76"/>
  <c r="J529" i="76"/>
  <c r="B527" i="76"/>
  <c r="B528" i="76"/>
  <c r="B529" i="76"/>
  <c r="G527" i="76"/>
  <c r="G528" i="76"/>
  <c r="G529" i="76"/>
  <c r="P526" i="76"/>
  <c r="O526" i="76"/>
  <c r="J526" i="76"/>
  <c r="I526" i="76"/>
  <c r="H526" i="76"/>
  <c r="G526" i="76"/>
  <c r="B526" i="76"/>
  <c r="O523" i="76"/>
  <c r="P523" i="76"/>
  <c r="O524" i="76"/>
  <c r="P524" i="76"/>
  <c r="O525" i="76"/>
  <c r="P525" i="76"/>
  <c r="O522" i="76"/>
  <c r="H523" i="76"/>
  <c r="I523" i="76"/>
  <c r="J523" i="76"/>
  <c r="H524" i="76"/>
  <c r="I524" i="76"/>
  <c r="J524" i="76"/>
  <c r="H525" i="76"/>
  <c r="I525" i="76"/>
  <c r="J525" i="76"/>
  <c r="B523" i="76"/>
  <c r="B524" i="76"/>
  <c r="B525" i="76"/>
  <c r="G523" i="76"/>
  <c r="G524" i="76"/>
  <c r="G525" i="76"/>
  <c r="P522" i="76"/>
  <c r="Q522" i="76" s="1"/>
  <c r="J522" i="76"/>
  <c r="I522" i="76"/>
  <c r="H522" i="76"/>
  <c r="G522" i="76"/>
  <c r="B522" i="76"/>
  <c r="Q525" i="76"/>
  <c r="O381" i="76"/>
  <c r="P381" i="76"/>
  <c r="O382" i="76"/>
  <c r="P382" i="76"/>
  <c r="O383" i="76"/>
  <c r="P383" i="76"/>
  <c r="O384" i="76"/>
  <c r="P384" i="76"/>
  <c r="H381" i="76"/>
  <c r="I381" i="76"/>
  <c r="J381" i="76"/>
  <c r="H382" i="76"/>
  <c r="I382" i="76"/>
  <c r="J382" i="76"/>
  <c r="H383" i="76"/>
  <c r="I383" i="76"/>
  <c r="J383" i="76"/>
  <c r="H384" i="76"/>
  <c r="I384" i="76"/>
  <c r="J384" i="76"/>
  <c r="B381" i="76"/>
  <c r="B382" i="76"/>
  <c r="B383" i="76"/>
  <c r="B384" i="76"/>
  <c r="G381" i="76"/>
  <c r="G382" i="76"/>
  <c r="G383" i="76"/>
  <c r="G384" i="76"/>
  <c r="P380" i="76"/>
  <c r="O380" i="76"/>
  <c r="J380" i="76"/>
  <c r="I380" i="76"/>
  <c r="H380" i="76"/>
  <c r="G380" i="76"/>
  <c r="B380" i="76"/>
  <c r="R530" i="76"/>
  <c r="R506" i="76"/>
  <c r="R502" i="76"/>
  <c r="R486" i="76"/>
  <c r="R429" i="76"/>
  <c r="R403" i="76"/>
  <c r="R369" i="76"/>
  <c r="D29" i="78" l="1"/>
  <c r="D18" i="78"/>
  <c r="C15" i="78"/>
  <c r="E15" i="78" s="1"/>
  <c r="D11" i="78"/>
  <c r="C29" i="78"/>
  <c r="C25" i="78"/>
  <c r="C18" i="78"/>
  <c r="D15" i="78"/>
  <c r="C11" i="78"/>
  <c r="C99" i="78"/>
  <c r="C7" i="78"/>
  <c r="G10" i="78" s="1"/>
  <c r="E31" i="78"/>
  <c r="D25" i="78"/>
  <c r="E25" i="78" s="1"/>
  <c r="E12" i="78"/>
  <c r="E8" i="78"/>
  <c r="E19" i="78"/>
  <c r="Q382" i="76"/>
  <c r="Q384" i="76"/>
  <c r="Q523" i="76"/>
  <c r="Q526" i="76"/>
  <c r="Q527" i="76"/>
  <c r="Q528" i="76"/>
  <c r="Q524" i="76"/>
  <c r="Q380" i="76"/>
  <c r="Q383" i="76"/>
  <c r="Q381" i="76"/>
  <c r="E29" i="78" l="1"/>
  <c r="E11" i="78"/>
  <c r="E18" i="78"/>
  <c r="D7" i="78"/>
  <c r="E7" i="78" l="1"/>
  <c r="H10" i="78"/>
  <c r="R19" i="76" l="1"/>
  <c r="O575" i="76"/>
  <c r="P575" i="76"/>
  <c r="O576" i="76"/>
  <c r="P576" i="76"/>
  <c r="O577" i="76"/>
  <c r="P577" i="76"/>
  <c r="O578" i="76"/>
  <c r="P578" i="76"/>
  <c r="O579" i="76"/>
  <c r="P579" i="76"/>
  <c r="O580" i="76"/>
  <c r="P580" i="76"/>
  <c r="O581" i="76"/>
  <c r="P581" i="76"/>
  <c r="O582" i="76"/>
  <c r="P582" i="76"/>
  <c r="H575" i="76"/>
  <c r="I575" i="76"/>
  <c r="J575" i="76"/>
  <c r="H576" i="76"/>
  <c r="I576" i="76"/>
  <c r="J576" i="76"/>
  <c r="H577" i="76"/>
  <c r="I577" i="76"/>
  <c r="J577" i="76"/>
  <c r="H578" i="76"/>
  <c r="I578" i="76"/>
  <c r="J578" i="76"/>
  <c r="H579" i="76"/>
  <c r="I579" i="76"/>
  <c r="J579" i="76"/>
  <c r="H580" i="76"/>
  <c r="I580" i="76"/>
  <c r="J580" i="76"/>
  <c r="H581" i="76"/>
  <c r="I581" i="76"/>
  <c r="J581" i="76"/>
  <c r="H582" i="76"/>
  <c r="I582" i="76"/>
  <c r="J582" i="76"/>
  <c r="B575" i="76"/>
  <c r="B576" i="76"/>
  <c r="B577" i="76"/>
  <c r="B578" i="76"/>
  <c r="B579" i="76"/>
  <c r="B580" i="76"/>
  <c r="B581" i="76"/>
  <c r="B582" i="76"/>
  <c r="G575" i="76"/>
  <c r="G576" i="76"/>
  <c r="G577" i="76"/>
  <c r="G578" i="76"/>
  <c r="G579" i="76"/>
  <c r="G580" i="76"/>
  <c r="G581" i="76"/>
  <c r="G582" i="76"/>
  <c r="P574" i="76"/>
  <c r="O574" i="76"/>
  <c r="J574" i="76"/>
  <c r="I574" i="76"/>
  <c r="H574" i="76"/>
  <c r="G574" i="76"/>
  <c r="B574" i="76"/>
  <c r="O565" i="76"/>
  <c r="P565" i="76"/>
  <c r="O566" i="76"/>
  <c r="P566" i="76"/>
  <c r="O567" i="76"/>
  <c r="P567" i="76"/>
  <c r="O568" i="76"/>
  <c r="P568" i="76"/>
  <c r="O569" i="76"/>
  <c r="P569" i="76"/>
  <c r="O570" i="76"/>
  <c r="P570" i="76"/>
  <c r="O571" i="76"/>
  <c r="P571" i="76"/>
  <c r="O572" i="76"/>
  <c r="P572" i="76"/>
  <c r="O573" i="76"/>
  <c r="P573" i="76"/>
  <c r="H565" i="76"/>
  <c r="I565" i="76"/>
  <c r="J565" i="76"/>
  <c r="H566" i="76"/>
  <c r="I566" i="76"/>
  <c r="J566" i="76"/>
  <c r="H567" i="76"/>
  <c r="I567" i="76"/>
  <c r="J567" i="76"/>
  <c r="H568" i="76"/>
  <c r="I568" i="76"/>
  <c r="J568" i="76"/>
  <c r="H569" i="76"/>
  <c r="I569" i="76"/>
  <c r="J569" i="76"/>
  <c r="H570" i="76"/>
  <c r="I570" i="76"/>
  <c r="J570" i="76"/>
  <c r="H571" i="76"/>
  <c r="I571" i="76"/>
  <c r="J571" i="76"/>
  <c r="H572" i="76"/>
  <c r="I572" i="76"/>
  <c r="J572" i="76"/>
  <c r="H573" i="76"/>
  <c r="I573" i="76"/>
  <c r="J573" i="76"/>
  <c r="B565" i="76"/>
  <c r="B566" i="76"/>
  <c r="B567" i="76"/>
  <c r="B568" i="76"/>
  <c r="B569" i="76"/>
  <c r="B570" i="76"/>
  <c r="B571" i="76"/>
  <c r="B572" i="76"/>
  <c r="B573" i="76"/>
  <c r="G572" i="76"/>
  <c r="G573" i="76"/>
  <c r="G565" i="76"/>
  <c r="G566" i="76"/>
  <c r="G567" i="76"/>
  <c r="G568" i="76"/>
  <c r="G569" i="76"/>
  <c r="G570" i="76"/>
  <c r="G571" i="76"/>
  <c r="P564" i="76"/>
  <c r="O564" i="76"/>
  <c r="J564" i="76"/>
  <c r="I564" i="76"/>
  <c r="H564" i="76"/>
  <c r="G564" i="76"/>
  <c r="B564" i="76"/>
  <c r="O563" i="76"/>
  <c r="P563" i="76"/>
  <c r="H563" i="76"/>
  <c r="I563" i="76"/>
  <c r="J563" i="76"/>
  <c r="G563" i="76"/>
  <c r="B563" i="76"/>
  <c r="P562" i="76"/>
  <c r="O562" i="76"/>
  <c r="J562" i="76"/>
  <c r="I556" i="76"/>
  <c r="I557" i="76"/>
  <c r="I558" i="76"/>
  <c r="I559" i="76"/>
  <c r="I560" i="76"/>
  <c r="I561" i="76"/>
  <c r="I562" i="76"/>
  <c r="H562" i="76"/>
  <c r="G562" i="76"/>
  <c r="B562" i="76"/>
  <c r="O559" i="76"/>
  <c r="O558" i="76" s="1"/>
  <c r="P559" i="76"/>
  <c r="O560" i="76"/>
  <c r="P560" i="76"/>
  <c r="O561" i="76"/>
  <c r="P561" i="76"/>
  <c r="H559" i="76"/>
  <c r="J559" i="76"/>
  <c r="H560" i="76"/>
  <c r="J560" i="76"/>
  <c r="H561" i="76"/>
  <c r="J561" i="76"/>
  <c r="B559" i="76"/>
  <c r="B560" i="76"/>
  <c r="B561" i="76"/>
  <c r="G559" i="76"/>
  <c r="G560" i="76"/>
  <c r="G561" i="76"/>
  <c r="J558" i="76"/>
  <c r="H558" i="76"/>
  <c r="G558" i="76"/>
  <c r="B558" i="76"/>
  <c r="O552" i="76"/>
  <c r="P552" i="76"/>
  <c r="O553" i="76"/>
  <c r="P553" i="76"/>
  <c r="O554" i="76"/>
  <c r="P554" i="76"/>
  <c r="O555" i="76"/>
  <c r="P555" i="76"/>
  <c r="O556" i="76"/>
  <c r="P556" i="76"/>
  <c r="O557" i="76"/>
  <c r="P557" i="76"/>
  <c r="H552" i="76"/>
  <c r="I552" i="76"/>
  <c r="J552" i="76"/>
  <c r="H553" i="76"/>
  <c r="I553" i="76"/>
  <c r="J553" i="76"/>
  <c r="H554" i="76"/>
  <c r="I554" i="76"/>
  <c r="J554" i="76"/>
  <c r="H555" i="76"/>
  <c r="I555" i="76"/>
  <c r="J555" i="76"/>
  <c r="H556" i="76"/>
  <c r="J556" i="76"/>
  <c r="H557" i="76"/>
  <c r="J557" i="76"/>
  <c r="B552" i="76"/>
  <c r="B553" i="76"/>
  <c r="B554" i="76"/>
  <c r="B555" i="76"/>
  <c r="B556" i="76"/>
  <c r="B557" i="76"/>
  <c r="G552" i="76"/>
  <c r="G553" i="76"/>
  <c r="G554" i="76"/>
  <c r="G555" i="76"/>
  <c r="G556" i="76"/>
  <c r="G557" i="76"/>
  <c r="P551" i="76"/>
  <c r="O551" i="76"/>
  <c r="J551" i="76"/>
  <c r="I551" i="76"/>
  <c r="H551" i="76"/>
  <c r="G551" i="76"/>
  <c r="B551" i="76"/>
  <c r="O546" i="76"/>
  <c r="P546" i="76"/>
  <c r="O547" i="76"/>
  <c r="P547" i="76"/>
  <c r="O548" i="76"/>
  <c r="P548" i="76"/>
  <c r="O549" i="76"/>
  <c r="P549" i="76"/>
  <c r="O550" i="76"/>
  <c r="P550" i="76"/>
  <c r="H546" i="76"/>
  <c r="I546" i="76"/>
  <c r="J546" i="76"/>
  <c r="H547" i="76"/>
  <c r="I547" i="76"/>
  <c r="J547" i="76"/>
  <c r="H548" i="76"/>
  <c r="I548" i="76"/>
  <c r="J548" i="76"/>
  <c r="H549" i="76"/>
  <c r="I549" i="76"/>
  <c r="J549" i="76"/>
  <c r="H550" i="76"/>
  <c r="I550" i="76"/>
  <c r="J550" i="76"/>
  <c r="B546" i="76"/>
  <c r="B547" i="76"/>
  <c r="B548" i="76"/>
  <c r="B549" i="76"/>
  <c r="B550" i="76"/>
  <c r="G546" i="76"/>
  <c r="G547" i="76"/>
  <c r="G548" i="76"/>
  <c r="G549" i="76"/>
  <c r="G550" i="76"/>
  <c r="P545" i="76"/>
  <c r="O545" i="76"/>
  <c r="J545" i="76"/>
  <c r="I545" i="76"/>
  <c r="H545" i="76"/>
  <c r="G545" i="76"/>
  <c r="B545" i="76"/>
  <c r="O542" i="76"/>
  <c r="P542" i="76"/>
  <c r="O543" i="76"/>
  <c r="P543" i="76"/>
  <c r="O544" i="76"/>
  <c r="P544" i="76"/>
  <c r="H542" i="76"/>
  <c r="I542" i="76"/>
  <c r="J542" i="76"/>
  <c r="H543" i="76"/>
  <c r="I543" i="76"/>
  <c r="J543" i="76"/>
  <c r="H544" i="76"/>
  <c r="I544" i="76"/>
  <c r="J544" i="76"/>
  <c r="B542" i="76"/>
  <c r="B543" i="76"/>
  <c r="B544" i="76"/>
  <c r="G542" i="76"/>
  <c r="G543" i="76"/>
  <c r="G544" i="76"/>
  <c r="P541" i="76"/>
  <c r="O541" i="76"/>
  <c r="J541" i="76"/>
  <c r="I541" i="76"/>
  <c r="H541" i="76"/>
  <c r="G541" i="76"/>
  <c r="B541" i="76"/>
  <c r="O540" i="76"/>
  <c r="P540" i="76"/>
  <c r="H540" i="76"/>
  <c r="I540" i="76"/>
  <c r="J540" i="76"/>
  <c r="G540" i="76"/>
  <c r="B540" i="76"/>
  <c r="P539" i="76"/>
  <c r="O539" i="76"/>
  <c r="J539" i="76"/>
  <c r="I539" i="76"/>
  <c r="H539" i="76"/>
  <c r="G539" i="76"/>
  <c r="B539" i="76"/>
  <c r="O531" i="76"/>
  <c r="P531" i="76"/>
  <c r="O532" i="76"/>
  <c r="P532" i="76"/>
  <c r="O533" i="76"/>
  <c r="P533" i="76"/>
  <c r="O534" i="76"/>
  <c r="P534" i="76"/>
  <c r="O535" i="76"/>
  <c r="P535" i="76"/>
  <c r="O536" i="76"/>
  <c r="P536" i="76"/>
  <c r="O537" i="76"/>
  <c r="P537" i="76"/>
  <c r="O538" i="76"/>
  <c r="P538" i="76"/>
  <c r="H531" i="76"/>
  <c r="I531" i="76"/>
  <c r="J531" i="76"/>
  <c r="H532" i="76"/>
  <c r="I532" i="76"/>
  <c r="J532" i="76"/>
  <c r="H533" i="76"/>
  <c r="I533" i="76"/>
  <c r="J533" i="76"/>
  <c r="H534" i="76"/>
  <c r="I534" i="76"/>
  <c r="J534" i="76"/>
  <c r="H535" i="76"/>
  <c r="I535" i="76"/>
  <c r="J535" i="76"/>
  <c r="H536" i="76"/>
  <c r="I536" i="76"/>
  <c r="J536" i="76"/>
  <c r="H537" i="76"/>
  <c r="I537" i="76"/>
  <c r="J537" i="76"/>
  <c r="H538" i="76"/>
  <c r="I538" i="76"/>
  <c r="J538" i="76"/>
  <c r="B538" i="76"/>
  <c r="G538" i="76"/>
  <c r="G531" i="76"/>
  <c r="G532" i="76"/>
  <c r="G533" i="76"/>
  <c r="G534" i="76"/>
  <c r="G535" i="76"/>
  <c r="G536" i="76"/>
  <c r="G537" i="76"/>
  <c r="B531" i="76"/>
  <c r="B532" i="76"/>
  <c r="B533" i="76"/>
  <c r="B534" i="76"/>
  <c r="B535" i="76"/>
  <c r="B536" i="76"/>
  <c r="B537" i="76"/>
  <c r="J530" i="76"/>
  <c r="I530" i="76"/>
  <c r="H530" i="76"/>
  <c r="G530" i="76"/>
  <c r="B530" i="76"/>
  <c r="O518" i="76"/>
  <c r="O517" i="76" s="1"/>
  <c r="O516" i="76" s="1"/>
  <c r="P518" i="76"/>
  <c r="P517" i="76" s="1"/>
  <c r="P516" i="76" s="1"/>
  <c r="O519" i="76"/>
  <c r="P519" i="76"/>
  <c r="H517" i="76"/>
  <c r="I517" i="76"/>
  <c r="J517" i="76"/>
  <c r="H518" i="76"/>
  <c r="I518" i="76"/>
  <c r="J518" i="76"/>
  <c r="H519" i="76"/>
  <c r="I519" i="76"/>
  <c r="J519" i="76"/>
  <c r="G517" i="76"/>
  <c r="G518" i="76"/>
  <c r="G519" i="76"/>
  <c r="B517" i="76"/>
  <c r="B518" i="76"/>
  <c r="B519" i="76"/>
  <c r="J516" i="76"/>
  <c r="I516" i="76"/>
  <c r="H516" i="76"/>
  <c r="G516" i="76"/>
  <c r="B516" i="76"/>
  <c r="O507" i="76"/>
  <c r="P507" i="76"/>
  <c r="O508" i="76"/>
  <c r="P508" i="76"/>
  <c r="O509" i="76"/>
  <c r="P509" i="76"/>
  <c r="O510" i="76"/>
  <c r="P510" i="76"/>
  <c r="O511" i="76"/>
  <c r="P511" i="76"/>
  <c r="O512" i="76"/>
  <c r="P512" i="76"/>
  <c r="O513" i="76"/>
  <c r="P513" i="76"/>
  <c r="O514" i="76"/>
  <c r="P514" i="76"/>
  <c r="O515" i="76"/>
  <c r="P515" i="76"/>
  <c r="H507" i="76"/>
  <c r="I507" i="76"/>
  <c r="J507" i="76"/>
  <c r="H508" i="76"/>
  <c r="I508" i="76"/>
  <c r="J508" i="76"/>
  <c r="H509" i="76"/>
  <c r="I509" i="76"/>
  <c r="J509" i="76"/>
  <c r="H510" i="76"/>
  <c r="I510" i="76"/>
  <c r="J510" i="76"/>
  <c r="H511" i="76"/>
  <c r="I511" i="76"/>
  <c r="J511" i="76"/>
  <c r="H512" i="76"/>
  <c r="I512" i="76"/>
  <c r="J512" i="76"/>
  <c r="H513" i="76"/>
  <c r="I513" i="76"/>
  <c r="J513" i="76"/>
  <c r="H514" i="76"/>
  <c r="I514" i="76"/>
  <c r="J514" i="76"/>
  <c r="H515" i="76"/>
  <c r="I515" i="76"/>
  <c r="J515" i="76"/>
  <c r="B515" i="76"/>
  <c r="G507" i="76"/>
  <c r="G508" i="76"/>
  <c r="G509" i="76"/>
  <c r="G510" i="76"/>
  <c r="G511" i="76"/>
  <c r="G512" i="76"/>
  <c r="G513" i="76"/>
  <c r="G514" i="76"/>
  <c r="G515" i="76"/>
  <c r="B507" i="76"/>
  <c r="B508" i="76"/>
  <c r="B509" i="76"/>
  <c r="B510" i="76"/>
  <c r="B511" i="76"/>
  <c r="B512" i="76"/>
  <c r="B513" i="76"/>
  <c r="B514" i="76"/>
  <c r="P506" i="76"/>
  <c r="O506" i="76"/>
  <c r="J506" i="76"/>
  <c r="I506" i="76"/>
  <c r="H506" i="76"/>
  <c r="G506" i="76"/>
  <c r="B506" i="76"/>
  <c r="O487" i="76"/>
  <c r="P487" i="76"/>
  <c r="O488" i="76"/>
  <c r="P488" i="76"/>
  <c r="O489" i="76"/>
  <c r="P489" i="76"/>
  <c r="O490" i="76"/>
  <c r="P490" i="76"/>
  <c r="O491" i="76"/>
  <c r="P491" i="76"/>
  <c r="O492" i="76"/>
  <c r="P492" i="76"/>
  <c r="O493" i="76"/>
  <c r="P493" i="76"/>
  <c r="O494" i="76"/>
  <c r="P494" i="76"/>
  <c r="O495" i="76"/>
  <c r="P495" i="76"/>
  <c r="O496" i="76"/>
  <c r="P496" i="76"/>
  <c r="O497" i="76"/>
  <c r="P497" i="76"/>
  <c r="O498" i="76"/>
  <c r="P498" i="76"/>
  <c r="O499" i="76"/>
  <c r="P499" i="76"/>
  <c r="O500" i="76"/>
  <c r="P500" i="76"/>
  <c r="O501" i="76"/>
  <c r="P501" i="76"/>
  <c r="O502" i="76"/>
  <c r="P502" i="76"/>
  <c r="O503" i="76"/>
  <c r="P503" i="76"/>
  <c r="O504" i="76"/>
  <c r="P504" i="76"/>
  <c r="O505" i="76"/>
  <c r="P505" i="76"/>
  <c r="H487" i="76"/>
  <c r="I487" i="76"/>
  <c r="J487" i="76"/>
  <c r="H488" i="76"/>
  <c r="I488" i="76"/>
  <c r="J488" i="76"/>
  <c r="H489" i="76"/>
  <c r="I489" i="76"/>
  <c r="J489" i="76"/>
  <c r="H490" i="76"/>
  <c r="I490" i="76"/>
  <c r="J490" i="76"/>
  <c r="H491" i="76"/>
  <c r="I491" i="76"/>
  <c r="J491" i="76"/>
  <c r="H492" i="76"/>
  <c r="I492" i="76"/>
  <c r="J492" i="76"/>
  <c r="H493" i="76"/>
  <c r="I493" i="76"/>
  <c r="J493" i="76"/>
  <c r="H494" i="76"/>
  <c r="I494" i="76"/>
  <c r="J494" i="76"/>
  <c r="H495" i="76"/>
  <c r="I495" i="76"/>
  <c r="J495" i="76"/>
  <c r="H496" i="76"/>
  <c r="I496" i="76"/>
  <c r="J496" i="76"/>
  <c r="H497" i="76"/>
  <c r="I497" i="76"/>
  <c r="J497" i="76"/>
  <c r="H498" i="76"/>
  <c r="I498" i="76"/>
  <c r="J498" i="76"/>
  <c r="H499" i="76"/>
  <c r="I499" i="76"/>
  <c r="J499" i="76"/>
  <c r="H500" i="76"/>
  <c r="I500" i="76"/>
  <c r="J500" i="76"/>
  <c r="H501" i="76"/>
  <c r="I501" i="76"/>
  <c r="J501" i="76"/>
  <c r="H502" i="76"/>
  <c r="I502" i="76"/>
  <c r="J502" i="76"/>
  <c r="H503" i="76"/>
  <c r="I503" i="76"/>
  <c r="J503" i="76"/>
  <c r="H504" i="76"/>
  <c r="I504" i="76"/>
  <c r="J504" i="76"/>
  <c r="H505" i="76"/>
  <c r="I505" i="76"/>
  <c r="J505" i="76"/>
  <c r="G503" i="76"/>
  <c r="G504" i="76"/>
  <c r="G505" i="76"/>
  <c r="B498" i="76"/>
  <c r="B499" i="76"/>
  <c r="B500" i="76"/>
  <c r="B501" i="76"/>
  <c r="B502" i="76"/>
  <c r="B503" i="76"/>
  <c r="B504" i="76"/>
  <c r="B505" i="76"/>
  <c r="G501" i="76"/>
  <c r="G502" i="76"/>
  <c r="G499" i="76"/>
  <c r="G500" i="76"/>
  <c r="G487" i="76"/>
  <c r="G488" i="76"/>
  <c r="G489" i="76"/>
  <c r="G490" i="76"/>
  <c r="G491" i="76"/>
  <c r="G492" i="76"/>
  <c r="G493" i="76"/>
  <c r="G494" i="76"/>
  <c r="G495" i="76"/>
  <c r="G496" i="76"/>
  <c r="G497" i="76"/>
  <c r="G498" i="76"/>
  <c r="B487" i="76"/>
  <c r="B488" i="76"/>
  <c r="B489" i="76"/>
  <c r="B490" i="76"/>
  <c r="B491" i="76"/>
  <c r="B492" i="76"/>
  <c r="B493" i="76"/>
  <c r="B494" i="76"/>
  <c r="B495" i="76"/>
  <c r="B496" i="76"/>
  <c r="B497" i="76"/>
  <c r="P486" i="76"/>
  <c r="O486" i="76"/>
  <c r="J486" i="76"/>
  <c r="I486" i="76"/>
  <c r="H486" i="76"/>
  <c r="G486" i="76"/>
  <c r="B486" i="76"/>
  <c r="O450" i="76"/>
  <c r="O449" i="76" s="1"/>
  <c r="O461" i="76"/>
  <c r="P461" i="76"/>
  <c r="O462" i="76"/>
  <c r="P462" i="76"/>
  <c r="O463" i="76"/>
  <c r="P463" i="76"/>
  <c r="O464" i="76"/>
  <c r="P464" i="76"/>
  <c r="O465" i="76"/>
  <c r="P465" i="76"/>
  <c r="O466" i="76"/>
  <c r="P466" i="76"/>
  <c r="O467" i="76"/>
  <c r="P467" i="76"/>
  <c r="O468" i="76"/>
  <c r="P468" i="76"/>
  <c r="O469" i="76"/>
  <c r="P469" i="76"/>
  <c r="O470" i="76"/>
  <c r="P470" i="76"/>
  <c r="O471" i="76"/>
  <c r="P471" i="76"/>
  <c r="O472" i="76"/>
  <c r="P472" i="76"/>
  <c r="O473" i="76"/>
  <c r="P473" i="76"/>
  <c r="O474" i="76"/>
  <c r="P474" i="76"/>
  <c r="O475" i="76"/>
  <c r="P475" i="76"/>
  <c r="O476" i="76"/>
  <c r="P476" i="76"/>
  <c r="O477" i="76"/>
  <c r="P477" i="76"/>
  <c r="O478" i="76"/>
  <c r="P478" i="76"/>
  <c r="O479" i="76"/>
  <c r="P479" i="76"/>
  <c r="O480" i="76"/>
  <c r="P480" i="76"/>
  <c r="O481" i="76"/>
  <c r="P481" i="76"/>
  <c r="O482" i="76"/>
  <c r="P482" i="76"/>
  <c r="O483" i="76"/>
  <c r="P483" i="76"/>
  <c r="O484" i="76"/>
  <c r="P484" i="76"/>
  <c r="O485" i="76"/>
  <c r="P485" i="76"/>
  <c r="H461" i="76"/>
  <c r="I461" i="76"/>
  <c r="J461" i="76"/>
  <c r="H462" i="76"/>
  <c r="I462" i="76"/>
  <c r="J462" i="76"/>
  <c r="H463" i="76"/>
  <c r="I463" i="76"/>
  <c r="J463" i="76"/>
  <c r="H464" i="76"/>
  <c r="I464" i="76"/>
  <c r="J464" i="76"/>
  <c r="H465" i="76"/>
  <c r="I465" i="76"/>
  <c r="J465" i="76"/>
  <c r="H466" i="76"/>
  <c r="I466" i="76"/>
  <c r="J466" i="76"/>
  <c r="H467" i="76"/>
  <c r="I467" i="76"/>
  <c r="J467" i="76"/>
  <c r="H468" i="76"/>
  <c r="I468" i="76"/>
  <c r="J468" i="76"/>
  <c r="H469" i="76"/>
  <c r="I469" i="76"/>
  <c r="J469" i="76"/>
  <c r="H470" i="76"/>
  <c r="I470" i="76"/>
  <c r="J470" i="76"/>
  <c r="H471" i="76"/>
  <c r="I471" i="76"/>
  <c r="J471" i="76"/>
  <c r="H472" i="76"/>
  <c r="I472" i="76"/>
  <c r="J472" i="76"/>
  <c r="H473" i="76"/>
  <c r="I473" i="76"/>
  <c r="J473" i="76"/>
  <c r="H474" i="76"/>
  <c r="I474" i="76"/>
  <c r="J474" i="76"/>
  <c r="H475" i="76"/>
  <c r="I475" i="76"/>
  <c r="J475" i="76"/>
  <c r="H476" i="76"/>
  <c r="I476" i="76"/>
  <c r="J476" i="76"/>
  <c r="H477" i="76"/>
  <c r="I477" i="76"/>
  <c r="J477" i="76"/>
  <c r="H478" i="76"/>
  <c r="I478" i="76"/>
  <c r="J478" i="76"/>
  <c r="H479" i="76"/>
  <c r="I479" i="76"/>
  <c r="J479" i="76"/>
  <c r="H480" i="76"/>
  <c r="I480" i="76"/>
  <c r="J480" i="76"/>
  <c r="H481" i="76"/>
  <c r="I481" i="76"/>
  <c r="J481" i="76"/>
  <c r="H482" i="76"/>
  <c r="I482" i="76"/>
  <c r="J482" i="76"/>
  <c r="H483" i="76"/>
  <c r="I483" i="76"/>
  <c r="J483" i="76"/>
  <c r="H484" i="76"/>
  <c r="I484" i="76"/>
  <c r="J484" i="76"/>
  <c r="H485" i="76"/>
  <c r="I485" i="76"/>
  <c r="J485" i="76"/>
  <c r="G483" i="76"/>
  <c r="G484" i="76"/>
  <c r="G485" i="76"/>
  <c r="G461" i="76"/>
  <c r="G462" i="76"/>
  <c r="G463" i="76"/>
  <c r="G464" i="76"/>
  <c r="G465" i="76"/>
  <c r="G466" i="76"/>
  <c r="G467" i="76"/>
  <c r="G468" i="76"/>
  <c r="G469" i="76"/>
  <c r="G470" i="76"/>
  <c r="G471" i="76"/>
  <c r="G472" i="76"/>
  <c r="G473" i="76"/>
  <c r="G474" i="76"/>
  <c r="G475" i="76"/>
  <c r="G476" i="76"/>
  <c r="G477" i="76"/>
  <c r="G478" i="76"/>
  <c r="G479" i="76"/>
  <c r="G480" i="76"/>
  <c r="G481" i="76"/>
  <c r="G482" i="76"/>
  <c r="B461" i="76"/>
  <c r="B462" i="76"/>
  <c r="B463" i="76"/>
  <c r="B464" i="76"/>
  <c r="B465" i="76"/>
  <c r="B466" i="76"/>
  <c r="B467" i="76"/>
  <c r="B468" i="76"/>
  <c r="B469" i="76"/>
  <c r="B470" i="76"/>
  <c r="B471" i="76"/>
  <c r="B472" i="76"/>
  <c r="B473" i="76"/>
  <c r="B474" i="76"/>
  <c r="B475" i="76"/>
  <c r="B476" i="76"/>
  <c r="B477" i="76"/>
  <c r="B478" i="76"/>
  <c r="B479" i="76"/>
  <c r="B480" i="76"/>
  <c r="B481" i="76"/>
  <c r="B482" i="76"/>
  <c r="B483" i="76"/>
  <c r="B484" i="76"/>
  <c r="B485" i="76"/>
  <c r="P460" i="76"/>
  <c r="O460" i="76"/>
  <c r="J460" i="76"/>
  <c r="I460" i="76"/>
  <c r="H460" i="76"/>
  <c r="G460" i="76"/>
  <c r="B460" i="76"/>
  <c r="O430" i="76"/>
  <c r="P430" i="76"/>
  <c r="O431" i="76"/>
  <c r="P431" i="76"/>
  <c r="O432" i="76"/>
  <c r="P432" i="76"/>
  <c r="O433" i="76"/>
  <c r="P433" i="76"/>
  <c r="O434" i="76"/>
  <c r="P434" i="76"/>
  <c r="O435" i="76"/>
  <c r="P435" i="76"/>
  <c r="O436" i="76"/>
  <c r="P436" i="76"/>
  <c r="O437" i="76"/>
  <c r="P437" i="76"/>
  <c r="O438" i="76"/>
  <c r="P438" i="76"/>
  <c r="O439" i="76"/>
  <c r="P439" i="76"/>
  <c r="O440" i="76"/>
  <c r="P440" i="76"/>
  <c r="O441" i="76"/>
  <c r="P441" i="76"/>
  <c r="O442" i="76"/>
  <c r="P442" i="76"/>
  <c r="O443" i="76"/>
  <c r="P443" i="76"/>
  <c r="O444" i="76"/>
  <c r="P444" i="76"/>
  <c r="O445" i="76"/>
  <c r="P445" i="76"/>
  <c r="O446" i="76"/>
  <c r="P446" i="76"/>
  <c r="O447" i="76"/>
  <c r="P447" i="76"/>
  <c r="O448" i="76"/>
  <c r="P448" i="76"/>
  <c r="P450" i="76"/>
  <c r="P449" i="76" s="1"/>
  <c r="O451" i="76"/>
  <c r="P451" i="76"/>
  <c r="O452" i="76"/>
  <c r="P452" i="76"/>
  <c r="O453" i="76"/>
  <c r="P453" i="76"/>
  <c r="O454" i="76"/>
  <c r="P454" i="76"/>
  <c r="O455" i="76"/>
  <c r="P455" i="76"/>
  <c r="O456" i="76"/>
  <c r="P456" i="76"/>
  <c r="O457" i="76"/>
  <c r="P457" i="76"/>
  <c r="O458" i="76"/>
  <c r="P458" i="76"/>
  <c r="O459" i="76"/>
  <c r="P459" i="76"/>
  <c r="H430" i="76"/>
  <c r="I430" i="76"/>
  <c r="J430" i="76"/>
  <c r="H431" i="76"/>
  <c r="I431" i="76"/>
  <c r="J431" i="76"/>
  <c r="H432" i="76"/>
  <c r="I432" i="76"/>
  <c r="J432" i="76"/>
  <c r="H433" i="76"/>
  <c r="I433" i="76"/>
  <c r="J433" i="76"/>
  <c r="H434" i="76"/>
  <c r="I434" i="76"/>
  <c r="J434" i="76"/>
  <c r="H435" i="76"/>
  <c r="I435" i="76"/>
  <c r="J435" i="76"/>
  <c r="H436" i="76"/>
  <c r="I436" i="76"/>
  <c r="J436" i="76"/>
  <c r="H437" i="76"/>
  <c r="I437" i="76"/>
  <c r="J437" i="76"/>
  <c r="H438" i="76"/>
  <c r="I438" i="76"/>
  <c r="J438" i="76"/>
  <c r="H439" i="76"/>
  <c r="I439" i="76"/>
  <c r="J439" i="76"/>
  <c r="H440" i="76"/>
  <c r="I440" i="76"/>
  <c r="J440" i="76"/>
  <c r="H441" i="76"/>
  <c r="I441" i="76"/>
  <c r="J441" i="76"/>
  <c r="H442" i="76"/>
  <c r="I442" i="76"/>
  <c r="J442" i="76"/>
  <c r="H443" i="76"/>
  <c r="I443" i="76"/>
  <c r="J443" i="76"/>
  <c r="H444" i="76"/>
  <c r="I444" i="76"/>
  <c r="J444" i="76"/>
  <c r="H445" i="76"/>
  <c r="I445" i="76"/>
  <c r="J445" i="76"/>
  <c r="H446" i="76"/>
  <c r="I446" i="76"/>
  <c r="J446" i="76"/>
  <c r="H447" i="76"/>
  <c r="I447" i="76"/>
  <c r="J447" i="76"/>
  <c r="H448" i="76"/>
  <c r="I448" i="76"/>
  <c r="J448" i="76"/>
  <c r="H449" i="76"/>
  <c r="I449" i="76"/>
  <c r="J449" i="76"/>
  <c r="H450" i="76"/>
  <c r="I450" i="76"/>
  <c r="J450" i="76"/>
  <c r="H451" i="76"/>
  <c r="I451" i="76"/>
  <c r="J451" i="76"/>
  <c r="H452" i="76"/>
  <c r="I452" i="76"/>
  <c r="J452" i="76"/>
  <c r="H453" i="76"/>
  <c r="I453" i="76"/>
  <c r="J453" i="76"/>
  <c r="H454" i="76"/>
  <c r="I454" i="76"/>
  <c r="J454" i="76"/>
  <c r="H455" i="76"/>
  <c r="I455" i="76"/>
  <c r="J455" i="76"/>
  <c r="H456" i="76"/>
  <c r="I456" i="76"/>
  <c r="J456" i="76"/>
  <c r="H457" i="76"/>
  <c r="I457" i="76"/>
  <c r="J457" i="76"/>
  <c r="H458" i="76"/>
  <c r="I458" i="76"/>
  <c r="J458" i="76"/>
  <c r="H459" i="76"/>
  <c r="I459" i="76"/>
  <c r="J459" i="76"/>
  <c r="G430" i="76"/>
  <c r="G431" i="76"/>
  <c r="G432" i="76"/>
  <c r="G433" i="76"/>
  <c r="G434" i="76"/>
  <c r="G435" i="76"/>
  <c r="G436" i="76"/>
  <c r="G437" i="76"/>
  <c r="G438" i="76"/>
  <c r="G439" i="76"/>
  <c r="G440" i="76"/>
  <c r="G441" i="76"/>
  <c r="G442" i="76"/>
  <c r="G443" i="76"/>
  <c r="G444" i="76"/>
  <c r="G445" i="76"/>
  <c r="G446" i="76"/>
  <c r="G447" i="76"/>
  <c r="G448" i="76"/>
  <c r="G449" i="76"/>
  <c r="G450" i="76"/>
  <c r="G451" i="76"/>
  <c r="G452" i="76"/>
  <c r="G453" i="76"/>
  <c r="G454" i="76"/>
  <c r="G455" i="76"/>
  <c r="G456" i="76"/>
  <c r="G457" i="76"/>
  <c r="G458" i="76"/>
  <c r="G459" i="76"/>
  <c r="H429" i="76"/>
  <c r="G429" i="76"/>
  <c r="B430" i="76"/>
  <c r="B431" i="76"/>
  <c r="B432" i="76"/>
  <c r="B433" i="76"/>
  <c r="B434" i="76"/>
  <c r="B435" i="76"/>
  <c r="B436" i="76"/>
  <c r="B437" i="76"/>
  <c r="B438" i="76"/>
  <c r="B439" i="76"/>
  <c r="B440" i="76"/>
  <c r="B441" i="76"/>
  <c r="B442" i="76"/>
  <c r="B443" i="76"/>
  <c r="B444" i="76"/>
  <c r="B445" i="76"/>
  <c r="B446" i="76"/>
  <c r="B447" i="76"/>
  <c r="B448" i="76"/>
  <c r="B449" i="76"/>
  <c r="B450" i="76"/>
  <c r="B451" i="76"/>
  <c r="B452" i="76"/>
  <c r="B453" i="76"/>
  <c r="B454" i="76"/>
  <c r="B455" i="76"/>
  <c r="B456" i="76"/>
  <c r="B457" i="76"/>
  <c r="B458" i="76"/>
  <c r="B459" i="76"/>
  <c r="B429" i="76"/>
  <c r="Q582" i="76"/>
  <c r="Q580" i="76"/>
  <c r="Q578" i="76"/>
  <c r="Q576" i="76"/>
  <c r="Q574" i="76"/>
  <c r="Q572" i="76"/>
  <c r="Q570" i="76"/>
  <c r="Q568" i="76"/>
  <c r="Q566" i="76"/>
  <c r="Q564" i="76"/>
  <c r="Q562" i="76"/>
  <c r="Q560" i="76"/>
  <c r="Q557" i="76"/>
  <c r="Q555" i="76"/>
  <c r="Q553" i="76"/>
  <c r="Q551" i="76"/>
  <c r="Q549" i="76"/>
  <c r="Q547" i="76"/>
  <c r="Q545" i="76"/>
  <c r="Q543" i="76"/>
  <c r="Q541" i="76"/>
  <c r="Q538" i="76"/>
  <c r="Q536" i="76"/>
  <c r="Q534" i="76"/>
  <c r="Q532" i="76"/>
  <c r="Q519" i="76"/>
  <c r="Q517" i="76"/>
  <c r="Q515" i="76"/>
  <c r="Q513" i="76"/>
  <c r="Q511" i="76"/>
  <c r="Q509" i="76"/>
  <c r="Q507" i="76"/>
  <c r="Q505" i="76"/>
  <c r="Q503" i="76"/>
  <c r="Q501" i="76"/>
  <c r="Q499" i="76"/>
  <c r="Q497" i="76"/>
  <c r="Q495" i="76"/>
  <c r="Q493" i="76"/>
  <c r="Q491" i="76"/>
  <c r="Q489" i="76"/>
  <c r="Q487" i="76"/>
  <c r="Q485" i="76"/>
  <c r="Q483" i="76"/>
  <c r="Q481" i="76"/>
  <c r="Q479" i="76"/>
  <c r="Q477" i="76"/>
  <c r="Q475" i="76"/>
  <c r="Q473" i="76"/>
  <c r="Q471" i="76"/>
  <c r="Q469" i="76"/>
  <c r="Q467" i="76"/>
  <c r="Q465" i="76"/>
  <c r="Q463" i="76"/>
  <c r="Q461" i="76"/>
  <c r="O404" i="76"/>
  <c r="P404" i="76"/>
  <c r="O405" i="76"/>
  <c r="P405" i="76"/>
  <c r="O406" i="76"/>
  <c r="P406" i="76"/>
  <c r="O407" i="76"/>
  <c r="P407" i="76"/>
  <c r="O408" i="76"/>
  <c r="P408" i="76"/>
  <c r="O409" i="76"/>
  <c r="P409" i="76"/>
  <c r="O410" i="76"/>
  <c r="P410" i="76"/>
  <c r="O411" i="76"/>
  <c r="P411" i="76"/>
  <c r="O412" i="76"/>
  <c r="P412" i="76"/>
  <c r="O413" i="76"/>
  <c r="P413" i="76"/>
  <c r="O414" i="76"/>
  <c r="P414" i="76"/>
  <c r="O415" i="76"/>
  <c r="P415" i="76"/>
  <c r="O416" i="76"/>
  <c r="P416" i="76"/>
  <c r="O417" i="76"/>
  <c r="P417" i="76"/>
  <c r="O418" i="76"/>
  <c r="P418" i="76"/>
  <c r="O419" i="76"/>
  <c r="P419" i="76"/>
  <c r="O420" i="76"/>
  <c r="P420" i="76"/>
  <c r="O421" i="76"/>
  <c r="P421" i="76"/>
  <c r="O422" i="76"/>
  <c r="P422" i="76"/>
  <c r="O423" i="76"/>
  <c r="P423" i="76"/>
  <c r="O424" i="76"/>
  <c r="P424" i="76"/>
  <c r="O425" i="76"/>
  <c r="P425" i="76"/>
  <c r="O426" i="76"/>
  <c r="P426" i="76"/>
  <c r="O427" i="76"/>
  <c r="P427" i="76"/>
  <c r="O428" i="76"/>
  <c r="P428" i="76"/>
  <c r="H404" i="76"/>
  <c r="I404" i="76"/>
  <c r="J404" i="76"/>
  <c r="H405" i="76"/>
  <c r="I405" i="76"/>
  <c r="J405" i="76"/>
  <c r="H406" i="76"/>
  <c r="I406" i="76"/>
  <c r="J406" i="76"/>
  <c r="H407" i="76"/>
  <c r="I407" i="76"/>
  <c r="J407" i="76"/>
  <c r="H408" i="76"/>
  <c r="I408" i="76"/>
  <c r="J408" i="76"/>
  <c r="H409" i="76"/>
  <c r="I409" i="76"/>
  <c r="J409" i="76"/>
  <c r="H410" i="76"/>
  <c r="I410" i="76"/>
  <c r="J410" i="76"/>
  <c r="H411" i="76"/>
  <c r="I411" i="76"/>
  <c r="J411" i="76"/>
  <c r="H412" i="76"/>
  <c r="I412" i="76"/>
  <c r="J412" i="76"/>
  <c r="H413" i="76"/>
  <c r="I413" i="76"/>
  <c r="J413" i="76"/>
  <c r="H414" i="76"/>
  <c r="I414" i="76"/>
  <c r="J414" i="76"/>
  <c r="H415" i="76"/>
  <c r="I415" i="76"/>
  <c r="J415" i="76"/>
  <c r="H416" i="76"/>
  <c r="I416" i="76"/>
  <c r="J416" i="76"/>
  <c r="H417" i="76"/>
  <c r="I417" i="76"/>
  <c r="J417" i="76"/>
  <c r="H418" i="76"/>
  <c r="I418" i="76"/>
  <c r="J418" i="76"/>
  <c r="H419" i="76"/>
  <c r="I419" i="76"/>
  <c r="J419" i="76"/>
  <c r="H420" i="76"/>
  <c r="I420" i="76"/>
  <c r="J420" i="76"/>
  <c r="H421" i="76"/>
  <c r="I421" i="76"/>
  <c r="J421" i="76"/>
  <c r="H422" i="76"/>
  <c r="I422" i="76"/>
  <c r="J422" i="76"/>
  <c r="H423" i="76"/>
  <c r="I423" i="76"/>
  <c r="J423" i="76"/>
  <c r="H424" i="76"/>
  <c r="I424" i="76"/>
  <c r="J424" i="76"/>
  <c r="H425" i="76"/>
  <c r="I425" i="76"/>
  <c r="J425" i="76"/>
  <c r="H426" i="76"/>
  <c r="I426" i="76"/>
  <c r="J426" i="76"/>
  <c r="H427" i="76"/>
  <c r="I427" i="76"/>
  <c r="J427" i="76"/>
  <c r="H428" i="76"/>
  <c r="I428" i="76"/>
  <c r="J428" i="76"/>
  <c r="G404" i="76"/>
  <c r="G405" i="76"/>
  <c r="G406" i="76"/>
  <c r="G407" i="76"/>
  <c r="G408" i="76"/>
  <c r="G409" i="76"/>
  <c r="G410" i="76"/>
  <c r="G411" i="76"/>
  <c r="G412" i="76"/>
  <c r="G413" i="76"/>
  <c r="G414" i="76"/>
  <c r="G415" i="76"/>
  <c r="G416" i="76"/>
  <c r="G417" i="76"/>
  <c r="G418" i="76"/>
  <c r="G419" i="76"/>
  <c r="G420" i="76"/>
  <c r="G421" i="76"/>
  <c r="G422" i="76"/>
  <c r="G423" i="76"/>
  <c r="G424" i="76"/>
  <c r="G425" i="76"/>
  <c r="G426" i="76"/>
  <c r="G427" i="76"/>
  <c r="G428" i="76"/>
  <c r="J403" i="76"/>
  <c r="I403" i="76"/>
  <c r="H403" i="76"/>
  <c r="G403" i="76"/>
  <c r="B404" i="76"/>
  <c r="B405" i="76"/>
  <c r="B406" i="76"/>
  <c r="B407" i="76"/>
  <c r="B408" i="76"/>
  <c r="B409" i="76"/>
  <c r="B410" i="76"/>
  <c r="B411" i="76"/>
  <c r="B412" i="76"/>
  <c r="B413" i="76"/>
  <c r="B414" i="76"/>
  <c r="B415" i="76"/>
  <c r="B416" i="76"/>
  <c r="B417" i="76"/>
  <c r="B418" i="76"/>
  <c r="B419" i="76"/>
  <c r="B420" i="76"/>
  <c r="B421" i="76"/>
  <c r="B422" i="76"/>
  <c r="B423" i="76"/>
  <c r="B424" i="76"/>
  <c r="B425" i="76"/>
  <c r="B426" i="76"/>
  <c r="B427" i="76"/>
  <c r="B428" i="76"/>
  <c r="B403" i="76"/>
  <c r="O400" i="76"/>
  <c r="P400" i="76"/>
  <c r="O401" i="76"/>
  <c r="P401" i="76"/>
  <c r="O402" i="76"/>
  <c r="P402" i="76"/>
  <c r="H400" i="76"/>
  <c r="I400" i="76"/>
  <c r="J400" i="76"/>
  <c r="H401" i="76"/>
  <c r="I401" i="76"/>
  <c r="J401" i="76"/>
  <c r="H402" i="76"/>
  <c r="I402" i="76"/>
  <c r="J402" i="76"/>
  <c r="G400" i="76"/>
  <c r="G401" i="76"/>
  <c r="G402" i="76"/>
  <c r="B400" i="76"/>
  <c r="B401" i="76"/>
  <c r="B402" i="76"/>
  <c r="P399" i="76"/>
  <c r="O399" i="76"/>
  <c r="J399" i="76"/>
  <c r="I399" i="76"/>
  <c r="H399" i="76"/>
  <c r="G399" i="76"/>
  <c r="B399" i="76"/>
  <c r="O376" i="76"/>
  <c r="P376" i="76"/>
  <c r="O377" i="76"/>
  <c r="P377" i="76"/>
  <c r="O378" i="76"/>
  <c r="P378" i="76"/>
  <c r="O379" i="76"/>
  <c r="P379" i="76"/>
  <c r="O385" i="76"/>
  <c r="P385" i="76"/>
  <c r="O386" i="76"/>
  <c r="P386" i="76"/>
  <c r="O387" i="76"/>
  <c r="P387" i="76"/>
  <c r="O388" i="76"/>
  <c r="P388" i="76"/>
  <c r="O389" i="76"/>
  <c r="P389" i="76"/>
  <c r="O390" i="76"/>
  <c r="P390" i="76"/>
  <c r="O391" i="76"/>
  <c r="P391" i="76"/>
  <c r="O392" i="76"/>
  <c r="P392" i="76"/>
  <c r="O393" i="76"/>
  <c r="P393" i="76"/>
  <c r="O394" i="76"/>
  <c r="P394" i="76"/>
  <c r="O395" i="76"/>
  <c r="P395" i="76"/>
  <c r="O396" i="76"/>
  <c r="P396" i="76"/>
  <c r="O397" i="76"/>
  <c r="P397" i="76"/>
  <c r="O398" i="76"/>
  <c r="P398" i="76"/>
  <c r="H376" i="76"/>
  <c r="I376" i="76"/>
  <c r="J376" i="76"/>
  <c r="H377" i="76"/>
  <c r="I377" i="76"/>
  <c r="J377" i="76"/>
  <c r="H378" i="76"/>
  <c r="I378" i="76"/>
  <c r="J378" i="76"/>
  <c r="H379" i="76"/>
  <c r="I379" i="76"/>
  <c r="J379" i="76"/>
  <c r="H385" i="76"/>
  <c r="I385" i="76"/>
  <c r="J385" i="76"/>
  <c r="H386" i="76"/>
  <c r="I386" i="76"/>
  <c r="J386" i="76"/>
  <c r="H387" i="76"/>
  <c r="I387" i="76"/>
  <c r="J387" i="76"/>
  <c r="H388" i="76"/>
  <c r="I388" i="76"/>
  <c r="J388" i="76"/>
  <c r="H389" i="76"/>
  <c r="I389" i="76"/>
  <c r="J389" i="76"/>
  <c r="H390" i="76"/>
  <c r="I390" i="76"/>
  <c r="J390" i="76"/>
  <c r="H391" i="76"/>
  <c r="I391" i="76"/>
  <c r="J391" i="76"/>
  <c r="H392" i="76"/>
  <c r="I392" i="76"/>
  <c r="J392" i="76"/>
  <c r="H393" i="76"/>
  <c r="I393" i="76"/>
  <c r="J393" i="76"/>
  <c r="H394" i="76"/>
  <c r="I394" i="76"/>
  <c r="J394" i="76"/>
  <c r="H395" i="76"/>
  <c r="I395" i="76"/>
  <c r="J395" i="76"/>
  <c r="H396" i="76"/>
  <c r="I396" i="76"/>
  <c r="J396" i="76"/>
  <c r="H397" i="76"/>
  <c r="I397" i="76"/>
  <c r="J397" i="76"/>
  <c r="H398" i="76"/>
  <c r="I398" i="76"/>
  <c r="J398" i="76"/>
  <c r="G376" i="76"/>
  <c r="G377" i="76"/>
  <c r="G378" i="76"/>
  <c r="G379" i="76"/>
  <c r="G385" i="76"/>
  <c r="G386" i="76"/>
  <c r="G387" i="76"/>
  <c r="G388" i="76"/>
  <c r="G389" i="76"/>
  <c r="G390" i="76"/>
  <c r="G391" i="76"/>
  <c r="G392" i="76"/>
  <c r="G393" i="76"/>
  <c r="G394" i="76"/>
  <c r="G395" i="76"/>
  <c r="G396" i="76"/>
  <c r="G397" i="76"/>
  <c r="G398" i="76"/>
  <c r="B376" i="76"/>
  <c r="B377" i="76"/>
  <c r="B378" i="76"/>
  <c r="B379" i="76"/>
  <c r="B385" i="76"/>
  <c r="B386" i="76"/>
  <c r="B387" i="76"/>
  <c r="B388" i="76"/>
  <c r="B389" i="76"/>
  <c r="B390" i="76"/>
  <c r="B391" i="76"/>
  <c r="B392" i="76"/>
  <c r="B393" i="76"/>
  <c r="B394" i="76"/>
  <c r="B395" i="76"/>
  <c r="B396" i="76"/>
  <c r="B397" i="76"/>
  <c r="B398" i="76"/>
  <c r="P375" i="76"/>
  <c r="O375" i="76"/>
  <c r="J375" i="76"/>
  <c r="I375" i="76"/>
  <c r="H375" i="76"/>
  <c r="G375" i="76"/>
  <c r="B375" i="76"/>
  <c r="O370" i="76"/>
  <c r="P370" i="76"/>
  <c r="P369" i="76" s="1"/>
  <c r="O371" i="76"/>
  <c r="P371" i="76"/>
  <c r="O372" i="76"/>
  <c r="P372" i="76"/>
  <c r="O373" i="76"/>
  <c r="P373" i="76"/>
  <c r="O374" i="76"/>
  <c r="P374" i="76"/>
  <c r="H370" i="76"/>
  <c r="I370" i="76"/>
  <c r="J370" i="76"/>
  <c r="H371" i="76"/>
  <c r="I371" i="76"/>
  <c r="J371" i="76"/>
  <c r="H372" i="76"/>
  <c r="I372" i="76"/>
  <c r="J372" i="76"/>
  <c r="H373" i="76"/>
  <c r="I373" i="76"/>
  <c r="J373" i="76"/>
  <c r="H374" i="76"/>
  <c r="I374" i="76"/>
  <c r="J374" i="76"/>
  <c r="G370" i="76"/>
  <c r="G371" i="76"/>
  <c r="G372" i="76"/>
  <c r="G373" i="76"/>
  <c r="G374" i="76"/>
  <c r="B370" i="76"/>
  <c r="B371" i="76"/>
  <c r="B372" i="76"/>
  <c r="B373" i="76"/>
  <c r="B374" i="76"/>
  <c r="J369" i="76"/>
  <c r="I369" i="76"/>
  <c r="H369" i="76"/>
  <c r="G369" i="76"/>
  <c r="B369" i="76"/>
  <c r="Q563" i="76" l="1"/>
  <c r="Q573" i="76"/>
  <c r="Q571" i="76"/>
  <c r="Q569" i="76"/>
  <c r="Q581" i="76"/>
  <c r="Q579" i="76"/>
  <c r="Q577" i="76"/>
  <c r="Q575" i="76"/>
  <c r="O369" i="76"/>
  <c r="Q460" i="76"/>
  <c r="Q484" i="76"/>
  <c r="Q482" i="76"/>
  <c r="Q480" i="76"/>
  <c r="Q478" i="76"/>
  <c r="Q476" i="76"/>
  <c r="Q474" i="76"/>
  <c r="Q472" i="76"/>
  <c r="Q470" i="76"/>
  <c r="Q468" i="76"/>
  <c r="Q466" i="76"/>
  <c r="Q464" i="76"/>
  <c r="Q462" i="76"/>
  <c r="Q504" i="76"/>
  <c r="Q500" i="76"/>
  <c r="Q498" i="76"/>
  <c r="Q496" i="76"/>
  <c r="Q494" i="76"/>
  <c r="Q492" i="76"/>
  <c r="Q490" i="76"/>
  <c r="Q488" i="76"/>
  <c r="Q514" i="76"/>
  <c r="Q512" i="76"/>
  <c r="Q510" i="76"/>
  <c r="Q508" i="76"/>
  <c r="Q518" i="76"/>
  <c r="Q537" i="76"/>
  <c r="Q535" i="76"/>
  <c r="Q533" i="76"/>
  <c r="Q539" i="76"/>
  <c r="Q540" i="76"/>
  <c r="Q544" i="76"/>
  <c r="Q542" i="76"/>
  <c r="Q550" i="76"/>
  <c r="Q548" i="76"/>
  <c r="Q546" i="76"/>
  <c r="Q486" i="76"/>
  <c r="S486" i="76"/>
  <c r="Q502" i="76"/>
  <c r="S502" i="76"/>
  <c r="Q506" i="76"/>
  <c r="S506" i="76"/>
  <c r="Q516" i="76"/>
  <c r="S516" i="76"/>
  <c r="Q556" i="76"/>
  <c r="Q554" i="76"/>
  <c r="Q552" i="76"/>
  <c r="Q561" i="76"/>
  <c r="O530" i="76"/>
  <c r="S530" i="76" s="1"/>
  <c r="P558" i="76"/>
  <c r="P530" i="76" s="1"/>
  <c r="Q530" i="76" s="1"/>
  <c r="Q567" i="76"/>
  <c r="Q565" i="76"/>
  <c r="O403" i="76"/>
  <c r="S403" i="76" s="1"/>
  <c r="Q558" i="76"/>
  <c r="Q531" i="76"/>
  <c r="Q559" i="76"/>
  <c r="O429" i="76"/>
  <c r="S429" i="76" s="1"/>
  <c r="P429" i="76"/>
  <c r="P403" i="76"/>
  <c r="P368" i="76" l="1"/>
  <c r="S369" i="76"/>
  <c r="O368" i="76"/>
  <c r="Q459" i="76" l="1"/>
  <c r="Q458" i="76"/>
  <c r="Q457" i="76"/>
  <c r="Q456" i="76"/>
  <c r="Q455" i="76"/>
  <c r="Q454" i="76"/>
  <c r="Q453" i="76"/>
  <c r="Q452" i="76"/>
  <c r="Q451" i="76"/>
  <c r="Q450" i="76"/>
  <c r="Q449" i="76"/>
  <c r="Q448" i="76"/>
  <c r="Q447" i="76"/>
  <c r="Q446" i="76"/>
  <c r="Q445" i="76"/>
  <c r="Q444" i="76"/>
  <c r="Q443" i="76"/>
  <c r="Q442" i="76"/>
  <c r="Q441" i="76"/>
  <c r="Q440" i="76"/>
  <c r="Q439" i="76"/>
  <c r="Q438" i="76"/>
  <c r="Q437" i="76"/>
  <c r="Q436" i="76"/>
  <c r="Q435" i="76"/>
  <c r="Q434" i="76"/>
  <c r="Q433" i="76"/>
  <c r="Q432" i="76"/>
  <c r="Q431" i="76"/>
  <c r="Q430" i="76"/>
  <c r="Q429" i="76"/>
  <c r="Q428" i="76"/>
  <c r="Q427" i="76"/>
  <c r="Q426" i="76"/>
  <c r="Q425" i="76"/>
  <c r="Q424" i="76"/>
  <c r="Q423" i="76"/>
  <c r="Q422" i="76"/>
  <c r="Q421" i="76"/>
  <c r="Q420" i="76"/>
  <c r="Q419" i="76"/>
  <c r="Q418" i="76"/>
  <c r="Q417" i="76"/>
  <c r="Q416" i="76"/>
  <c r="Q415" i="76"/>
  <c r="Q414" i="76"/>
  <c r="Q413" i="76"/>
  <c r="Q412" i="76"/>
  <c r="Q411" i="76"/>
  <c r="Q410" i="76"/>
  <c r="Q409" i="76"/>
  <c r="Q408" i="76"/>
  <c r="Q407" i="76"/>
  <c r="Q406" i="76"/>
  <c r="Q405" i="76"/>
  <c r="Q404" i="76"/>
  <c r="Q403" i="76"/>
  <c r="Q402" i="76"/>
  <c r="Q401" i="76"/>
  <c r="Q400" i="76"/>
  <c r="Q399" i="76"/>
  <c r="Q398" i="76"/>
  <c r="Q397" i="76"/>
  <c r="Q396" i="76"/>
  <c r="O367" i="76" l="1"/>
  <c r="P367" i="76"/>
  <c r="G364" i="76"/>
  <c r="G365" i="76"/>
  <c r="G366" i="76"/>
  <c r="G367" i="76"/>
  <c r="B365" i="76"/>
  <c r="B366" i="76"/>
  <c r="B367" i="76"/>
  <c r="H363" i="76"/>
  <c r="I363" i="76"/>
  <c r="J363" i="76"/>
  <c r="H364" i="76"/>
  <c r="I364" i="76"/>
  <c r="J364" i="76"/>
  <c r="H365" i="76"/>
  <c r="I365" i="76"/>
  <c r="J365" i="76"/>
  <c r="H366" i="76"/>
  <c r="I366" i="76"/>
  <c r="J366" i="76"/>
  <c r="H367" i="76"/>
  <c r="I367" i="76"/>
  <c r="J367" i="76"/>
  <c r="O360" i="76"/>
  <c r="P360" i="76"/>
  <c r="Q360" i="76" s="1"/>
  <c r="O361" i="76"/>
  <c r="P361" i="76"/>
  <c r="O362" i="76"/>
  <c r="P362" i="76"/>
  <c r="Q362" i="76" s="1"/>
  <c r="O363" i="76"/>
  <c r="P363" i="76"/>
  <c r="O364" i="76"/>
  <c r="P364" i="76"/>
  <c r="Q364" i="76" s="1"/>
  <c r="O365" i="76"/>
  <c r="P365" i="76"/>
  <c r="O366" i="76"/>
  <c r="P366" i="76"/>
  <c r="Q366" i="76" s="1"/>
  <c r="H360" i="76"/>
  <c r="I360" i="76"/>
  <c r="J360" i="76"/>
  <c r="H361" i="76"/>
  <c r="I361" i="76"/>
  <c r="J361" i="76"/>
  <c r="H362" i="76"/>
  <c r="I362" i="76"/>
  <c r="J362" i="76"/>
  <c r="G360" i="76"/>
  <c r="G361" i="76"/>
  <c r="G362" i="76"/>
  <c r="G363" i="76"/>
  <c r="B360" i="76"/>
  <c r="B361" i="76"/>
  <c r="B362" i="76"/>
  <c r="B363" i="76"/>
  <c r="B364" i="76"/>
  <c r="P359" i="76"/>
  <c r="O359" i="76"/>
  <c r="J359" i="76"/>
  <c r="I359" i="76"/>
  <c r="H359" i="76"/>
  <c r="G359" i="76"/>
  <c r="B359" i="76"/>
  <c r="O355" i="76"/>
  <c r="P355" i="76"/>
  <c r="O356" i="76"/>
  <c r="Q356" i="76" s="1"/>
  <c r="P356" i="76"/>
  <c r="O357" i="76"/>
  <c r="P357" i="76"/>
  <c r="O358" i="76"/>
  <c r="Q358" i="76" s="1"/>
  <c r="P358" i="76"/>
  <c r="H355" i="76"/>
  <c r="I355" i="76"/>
  <c r="J355" i="76"/>
  <c r="H356" i="76"/>
  <c r="I356" i="76"/>
  <c r="J356" i="76"/>
  <c r="H357" i="76"/>
  <c r="I357" i="76"/>
  <c r="J357" i="76"/>
  <c r="H358" i="76"/>
  <c r="I358" i="76"/>
  <c r="J358" i="76"/>
  <c r="G358" i="76"/>
  <c r="G355" i="76"/>
  <c r="G356" i="76"/>
  <c r="G357" i="76"/>
  <c r="B355" i="76"/>
  <c r="B356" i="76"/>
  <c r="B357" i="76"/>
  <c r="B358" i="76"/>
  <c r="P354" i="76"/>
  <c r="Q354" i="76" s="1"/>
  <c r="O354" i="76"/>
  <c r="J354" i="76"/>
  <c r="I354" i="76"/>
  <c r="H354" i="76"/>
  <c r="G354" i="76"/>
  <c r="B354" i="76"/>
  <c r="O127" i="76"/>
  <c r="P127" i="76"/>
  <c r="O128" i="76"/>
  <c r="P128" i="76"/>
  <c r="O129" i="76"/>
  <c r="P129" i="76"/>
  <c r="H127" i="76"/>
  <c r="I127" i="76"/>
  <c r="J127" i="76"/>
  <c r="H128" i="76"/>
  <c r="I128" i="76"/>
  <c r="J128" i="76"/>
  <c r="H129" i="76"/>
  <c r="I129" i="76"/>
  <c r="J129" i="76"/>
  <c r="G127" i="76"/>
  <c r="G128" i="76"/>
  <c r="G129" i="76"/>
  <c r="B127" i="76"/>
  <c r="B128" i="76"/>
  <c r="B129" i="76"/>
  <c r="P126" i="76"/>
  <c r="O126" i="76"/>
  <c r="J126" i="76"/>
  <c r="I126" i="76"/>
  <c r="H126" i="76"/>
  <c r="G126" i="76"/>
  <c r="B126" i="76"/>
  <c r="O343" i="76"/>
  <c r="P343" i="76"/>
  <c r="O344" i="76"/>
  <c r="P344" i="76"/>
  <c r="O345" i="76"/>
  <c r="P345" i="76"/>
  <c r="O346" i="76"/>
  <c r="P346" i="76"/>
  <c r="O347" i="76"/>
  <c r="P347" i="76"/>
  <c r="O348" i="76"/>
  <c r="P348" i="76"/>
  <c r="O349" i="76"/>
  <c r="P349" i="76"/>
  <c r="Q349" i="76" s="1"/>
  <c r="O350" i="76"/>
  <c r="P350" i="76"/>
  <c r="O351" i="76"/>
  <c r="P351" i="76"/>
  <c r="O352" i="76"/>
  <c r="P352" i="76"/>
  <c r="O353" i="76"/>
  <c r="P353" i="76"/>
  <c r="B353" i="76"/>
  <c r="H343" i="76"/>
  <c r="I343" i="76"/>
  <c r="J343" i="76"/>
  <c r="H344" i="76"/>
  <c r="I344" i="76"/>
  <c r="J344" i="76"/>
  <c r="H345" i="76"/>
  <c r="I345" i="76"/>
  <c r="J345" i="76"/>
  <c r="H346" i="76"/>
  <c r="I346" i="76"/>
  <c r="J346" i="76"/>
  <c r="H347" i="76"/>
  <c r="I347" i="76"/>
  <c r="J347" i="76"/>
  <c r="H348" i="76"/>
  <c r="I348" i="76"/>
  <c r="J348" i="76"/>
  <c r="H349" i="76"/>
  <c r="I349" i="76"/>
  <c r="J349" i="76"/>
  <c r="H350" i="76"/>
  <c r="I350" i="76"/>
  <c r="J350" i="76"/>
  <c r="H351" i="76"/>
  <c r="I351" i="76"/>
  <c r="J351" i="76"/>
  <c r="H352" i="76"/>
  <c r="I352" i="76"/>
  <c r="J352" i="76"/>
  <c r="H353" i="76"/>
  <c r="I353" i="76"/>
  <c r="J353" i="76"/>
  <c r="G351" i="76"/>
  <c r="G352" i="76"/>
  <c r="G353" i="76"/>
  <c r="B351" i="76"/>
  <c r="B352" i="76"/>
  <c r="G343" i="76"/>
  <c r="G344" i="76"/>
  <c r="G345" i="76"/>
  <c r="G346" i="76"/>
  <c r="G347" i="76"/>
  <c r="G348" i="76"/>
  <c r="G349" i="76"/>
  <c r="G350" i="76"/>
  <c r="B343" i="76"/>
  <c r="B344" i="76"/>
  <c r="B345" i="76"/>
  <c r="B346" i="76"/>
  <c r="B347" i="76"/>
  <c r="B348" i="76"/>
  <c r="B349" i="76"/>
  <c r="B350" i="76"/>
  <c r="J342" i="76"/>
  <c r="I342" i="76"/>
  <c r="H342" i="76"/>
  <c r="G342" i="76"/>
  <c r="B342" i="76"/>
  <c r="O337" i="76"/>
  <c r="P337" i="76"/>
  <c r="O338" i="76"/>
  <c r="P338" i="76"/>
  <c r="O339" i="76"/>
  <c r="P339" i="76"/>
  <c r="Q339" i="76" s="1"/>
  <c r="O340" i="76"/>
  <c r="P340" i="76"/>
  <c r="O341" i="76"/>
  <c r="P341" i="76"/>
  <c r="H337" i="76"/>
  <c r="I337" i="76"/>
  <c r="J337" i="76"/>
  <c r="H338" i="76"/>
  <c r="I338" i="76"/>
  <c r="J338" i="76"/>
  <c r="H339" i="76"/>
  <c r="I339" i="76"/>
  <c r="J339" i="76"/>
  <c r="H340" i="76"/>
  <c r="I340" i="76"/>
  <c r="J340" i="76"/>
  <c r="H341" i="76"/>
  <c r="I341" i="76"/>
  <c r="J341" i="76"/>
  <c r="G337" i="76"/>
  <c r="G338" i="76"/>
  <c r="G339" i="76"/>
  <c r="G340" i="76"/>
  <c r="G341" i="76"/>
  <c r="B337" i="76"/>
  <c r="B338" i="76"/>
  <c r="B339" i="76"/>
  <c r="B340" i="76"/>
  <c r="B341" i="76"/>
  <c r="P336" i="76"/>
  <c r="O336" i="76"/>
  <c r="J336" i="76"/>
  <c r="I336" i="76"/>
  <c r="H336" i="76"/>
  <c r="G336" i="76"/>
  <c r="B336" i="76"/>
  <c r="Q345" i="76"/>
  <c r="Q353" i="76"/>
  <c r="Q355" i="76"/>
  <c r="Q357" i="76"/>
  <c r="Q359" i="76"/>
  <c r="Q361" i="76"/>
  <c r="Q363" i="76"/>
  <c r="Q365" i="76"/>
  <c r="Q367" i="76"/>
  <c r="Q368" i="76"/>
  <c r="Q369" i="76"/>
  <c r="Q370" i="76"/>
  <c r="Q371" i="76"/>
  <c r="Q372" i="76"/>
  <c r="Q373" i="76"/>
  <c r="Q374" i="76"/>
  <c r="Q375" i="76"/>
  <c r="Q376" i="76"/>
  <c r="Q377" i="76"/>
  <c r="Q378" i="76"/>
  <c r="Q379" i="76"/>
  <c r="Q385" i="76"/>
  <c r="Q386" i="76"/>
  <c r="Q387" i="76"/>
  <c r="Q388" i="76"/>
  <c r="Q389" i="76"/>
  <c r="Q390" i="76"/>
  <c r="Q391" i="76"/>
  <c r="Q392" i="76"/>
  <c r="Q393" i="76"/>
  <c r="Q394" i="76"/>
  <c r="Q395" i="76"/>
  <c r="O269" i="76"/>
  <c r="P269" i="76"/>
  <c r="O270" i="76"/>
  <c r="P270" i="76"/>
  <c r="O271" i="76"/>
  <c r="P271" i="76"/>
  <c r="O272" i="76"/>
  <c r="P272" i="76"/>
  <c r="O273" i="76"/>
  <c r="P273" i="76"/>
  <c r="O274" i="76"/>
  <c r="P274" i="76"/>
  <c r="O275" i="76"/>
  <c r="P275" i="76"/>
  <c r="O276" i="76"/>
  <c r="P276" i="76"/>
  <c r="O277" i="76"/>
  <c r="P277" i="76"/>
  <c r="O278" i="76"/>
  <c r="P278" i="76"/>
  <c r="O279" i="76"/>
  <c r="P279" i="76"/>
  <c r="O280" i="76"/>
  <c r="P280" i="76"/>
  <c r="O281" i="76"/>
  <c r="P281" i="76"/>
  <c r="O282" i="76"/>
  <c r="P282" i="76"/>
  <c r="O283" i="76"/>
  <c r="P283" i="76"/>
  <c r="O284" i="76"/>
  <c r="P284" i="76"/>
  <c r="O285" i="76"/>
  <c r="P285" i="76"/>
  <c r="O286" i="76"/>
  <c r="P286" i="76"/>
  <c r="O287" i="76"/>
  <c r="P287" i="76"/>
  <c r="O288" i="76"/>
  <c r="P288" i="76"/>
  <c r="O289" i="76"/>
  <c r="P289" i="76"/>
  <c r="O290" i="76"/>
  <c r="P290" i="76"/>
  <c r="O291" i="76"/>
  <c r="P291" i="76"/>
  <c r="O292" i="76"/>
  <c r="P292" i="76"/>
  <c r="O293" i="76"/>
  <c r="P293" i="76"/>
  <c r="O294" i="76"/>
  <c r="P294" i="76"/>
  <c r="O295" i="76"/>
  <c r="P295" i="76"/>
  <c r="O296" i="76"/>
  <c r="P296" i="76"/>
  <c r="O297" i="76"/>
  <c r="P297" i="76"/>
  <c r="O298" i="76"/>
  <c r="P298" i="76"/>
  <c r="O299" i="76"/>
  <c r="P299" i="76"/>
  <c r="O300" i="76"/>
  <c r="P300" i="76"/>
  <c r="O301" i="76"/>
  <c r="P301" i="76"/>
  <c r="O302" i="76"/>
  <c r="P302" i="76"/>
  <c r="O303" i="76"/>
  <c r="P303" i="76"/>
  <c r="O304" i="76"/>
  <c r="P304" i="76"/>
  <c r="O305" i="76"/>
  <c r="P305" i="76"/>
  <c r="O306" i="76"/>
  <c r="P306" i="76"/>
  <c r="O307" i="76"/>
  <c r="P307" i="76"/>
  <c r="O308" i="76"/>
  <c r="P308" i="76"/>
  <c r="O309" i="76"/>
  <c r="P309" i="76"/>
  <c r="O310" i="76"/>
  <c r="P310" i="76"/>
  <c r="O311" i="76"/>
  <c r="P311" i="76"/>
  <c r="O312" i="76"/>
  <c r="P312" i="76"/>
  <c r="O313" i="76"/>
  <c r="P313" i="76"/>
  <c r="O314" i="76"/>
  <c r="P314" i="76"/>
  <c r="O315" i="76"/>
  <c r="P315" i="76"/>
  <c r="O316" i="76"/>
  <c r="P316" i="76"/>
  <c r="O317" i="76"/>
  <c r="P317" i="76"/>
  <c r="O318" i="76"/>
  <c r="P318" i="76"/>
  <c r="O319" i="76"/>
  <c r="P319" i="76"/>
  <c r="O320" i="76"/>
  <c r="P320" i="76"/>
  <c r="O321" i="76"/>
  <c r="P321" i="76"/>
  <c r="O322" i="76"/>
  <c r="P322" i="76"/>
  <c r="O323" i="76"/>
  <c r="P323" i="76"/>
  <c r="O324" i="76"/>
  <c r="P324" i="76"/>
  <c r="O325" i="76"/>
  <c r="P325" i="76"/>
  <c r="O326" i="76"/>
  <c r="P326" i="76"/>
  <c r="O327" i="76"/>
  <c r="P327" i="76"/>
  <c r="O328" i="76"/>
  <c r="P328" i="76"/>
  <c r="O329" i="76"/>
  <c r="P329" i="76"/>
  <c r="O330" i="76"/>
  <c r="P330" i="76"/>
  <c r="O331" i="76"/>
  <c r="P331" i="76"/>
  <c r="O332" i="76"/>
  <c r="P332" i="76"/>
  <c r="O333" i="76"/>
  <c r="P333" i="76"/>
  <c r="O334" i="76"/>
  <c r="P334" i="76"/>
  <c r="O335" i="76"/>
  <c r="P335" i="76"/>
  <c r="H269" i="76"/>
  <c r="I269" i="76"/>
  <c r="J269" i="76"/>
  <c r="H270" i="76"/>
  <c r="I270" i="76"/>
  <c r="J270" i="76"/>
  <c r="H271" i="76"/>
  <c r="I271" i="76"/>
  <c r="J271" i="76"/>
  <c r="H272" i="76"/>
  <c r="I272" i="76"/>
  <c r="J272" i="76"/>
  <c r="H273" i="76"/>
  <c r="I273" i="76"/>
  <c r="J273" i="76"/>
  <c r="H274" i="76"/>
  <c r="I274" i="76"/>
  <c r="J274" i="76"/>
  <c r="H275" i="76"/>
  <c r="I275" i="76"/>
  <c r="J275" i="76"/>
  <c r="H276" i="76"/>
  <c r="I276" i="76"/>
  <c r="J276" i="76"/>
  <c r="H277" i="76"/>
  <c r="I277" i="76"/>
  <c r="J277" i="76"/>
  <c r="H278" i="76"/>
  <c r="I278" i="76"/>
  <c r="J278" i="76"/>
  <c r="H279" i="76"/>
  <c r="I279" i="76"/>
  <c r="J279" i="76"/>
  <c r="H280" i="76"/>
  <c r="I280" i="76"/>
  <c r="J280" i="76"/>
  <c r="H281" i="76"/>
  <c r="I281" i="76"/>
  <c r="J281" i="76"/>
  <c r="H282" i="76"/>
  <c r="I282" i="76"/>
  <c r="J282" i="76"/>
  <c r="H283" i="76"/>
  <c r="I283" i="76"/>
  <c r="J283" i="76"/>
  <c r="H284" i="76"/>
  <c r="I284" i="76"/>
  <c r="J284" i="76"/>
  <c r="H285" i="76"/>
  <c r="I285" i="76"/>
  <c r="J285" i="76"/>
  <c r="H286" i="76"/>
  <c r="I286" i="76"/>
  <c r="J286" i="76"/>
  <c r="H287" i="76"/>
  <c r="I287" i="76"/>
  <c r="J287" i="76"/>
  <c r="H288" i="76"/>
  <c r="I288" i="76"/>
  <c r="J288" i="76"/>
  <c r="H289" i="76"/>
  <c r="I289" i="76"/>
  <c r="J289" i="76"/>
  <c r="H290" i="76"/>
  <c r="I290" i="76"/>
  <c r="J290" i="76"/>
  <c r="H291" i="76"/>
  <c r="I291" i="76"/>
  <c r="J291" i="76"/>
  <c r="H292" i="76"/>
  <c r="I292" i="76"/>
  <c r="J292" i="76"/>
  <c r="H293" i="76"/>
  <c r="I293" i="76"/>
  <c r="J293" i="76"/>
  <c r="H294" i="76"/>
  <c r="I294" i="76"/>
  <c r="J294" i="76"/>
  <c r="H295" i="76"/>
  <c r="I295" i="76"/>
  <c r="J295" i="76"/>
  <c r="H296" i="76"/>
  <c r="I296" i="76"/>
  <c r="J296" i="76"/>
  <c r="H297" i="76"/>
  <c r="I297" i="76"/>
  <c r="J297" i="76"/>
  <c r="H298" i="76"/>
  <c r="I298" i="76"/>
  <c r="J298" i="76"/>
  <c r="H299" i="76"/>
  <c r="I299" i="76"/>
  <c r="J299" i="76"/>
  <c r="H300" i="76"/>
  <c r="I300" i="76"/>
  <c r="J300" i="76"/>
  <c r="H301" i="76"/>
  <c r="I301" i="76"/>
  <c r="J301" i="76"/>
  <c r="H302" i="76"/>
  <c r="I302" i="76"/>
  <c r="J302" i="76"/>
  <c r="H303" i="76"/>
  <c r="I303" i="76"/>
  <c r="J303" i="76"/>
  <c r="H304" i="76"/>
  <c r="I304" i="76"/>
  <c r="J304" i="76"/>
  <c r="H305" i="76"/>
  <c r="I305" i="76"/>
  <c r="J305" i="76"/>
  <c r="H306" i="76"/>
  <c r="I306" i="76"/>
  <c r="J306" i="76"/>
  <c r="H307" i="76"/>
  <c r="I307" i="76"/>
  <c r="J307" i="76"/>
  <c r="H308" i="76"/>
  <c r="I308" i="76"/>
  <c r="J308" i="76"/>
  <c r="H309" i="76"/>
  <c r="I309" i="76"/>
  <c r="J309" i="76"/>
  <c r="H310" i="76"/>
  <c r="I310" i="76"/>
  <c r="J310" i="76"/>
  <c r="H311" i="76"/>
  <c r="I311" i="76"/>
  <c r="J311" i="76"/>
  <c r="H312" i="76"/>
  <c r="I312" i="76"/>
  <c r="J312" i="76"/>
  <c r="H313" i="76"/>
  <c r="I313" i="76"/>
  <c r="J313" i="76"/>
  <c r="H314" i="76"/>
  <c r="I314" i="76"/>
  <c r="J314" i="76"/>
  <c r="H315" i="76"/>
  <c r="I315" i="76"/>
  <c r="J315" i="76"/>
  <c r="H316" i="76"/>
  <c r="I316" i="76"/>
  <c r="J316" i="76"/>
  <c r="H317" i="76"/>
  <c r="I317" i="76"/>
  <c r="J317" i="76"/>
  <c r="H318" i="76"/>
  <c r="I318" i="76"/>
  <c r="J318" i="76"/>
  <c r="H319" i="76"/>
  <c r="I319" i="76"/>
  <c r="J319" i="76"/>
  <c r="H320" i="76"/>
  <c r="I320" i="76"/>
  <c r="J320" i="76"/>
  <c r="H321" i="76"/>
  <c r="I321" i="76"/>
  <c r="J321" i="76"/>
  <c r="H322" i="76"/>
  <c r="I322" i="76"/>
  <c r="J322" i="76"/>
  <c r="H323" i="76"/>
  <c r="I323" i="76"/>
  <c r="J323" i="76"/>
  <c r="H324" i="76"/>
  <c r="I324" i="76"/>
  <c r="J324" i="76"/>
  <c r="H325" i="76"/>
  <c r="I325" i="76"/>
  <c r="J325" i="76"/>
  <c r="H326" i="76"/>
  <c r="I326" i="76"/>
  <c r="J326" i="76"/>
  <c r="H327" i="76"/>
  <c r="I327" i="76"/>
  <c r="J327" i="76"/>
  <c r="H328" i="76"/>
  <c r="I328" i="76"/>
  <c r="J328" i="76"/>
  <c r="H329" i="76"/>
  <c r="I329" i="76"/>
  <c r="J329" i="76"/>
  <c r="H330" i="76"/>
  <c r="I330" i="76"/>
  <c r="J330" i="76"/>
  <c r="H331" i="76"/>
  <c r="I331" i="76"/>
  <c r="J331" i="76"/>
  <c r="H332" i="76"/>
  <c r="I332" i="76"/>
  <c r="J332" i="76"/>
  <c r="H333" i="76"/>
  <c r="I333" i="76"/>
  <c r="J333" i="76"/>
  <c r="H334" i="76"/>
  <c r="I334" i="76"/>
  <c r="J334" i="76"/>
  <c r="H335" i="76"/>
  <c r="I335" i="76"/>
  <c r="J335" i="76"/>
  <c r="G269" i="76"/>
  <c r="G270" i="76"/>
  <c r="G271" i="76"/>
  <c r="G272" i="76"/>
  <c r="G273" i="76"/>
  <c r="G274" i="76"/>
  <c r="G275" i="76"/>
  <c r="G276" i="76"/>
  <c r="G277" i="76"/>
  <c r="G278" i="76"/>
  <c r="G279" i="76"/>
  <c r="G280" i="76"/>
  <c r="G281" i="76"/>
  <c r="G282" i="76"/>
  <c r="G283" i="76"/>
  <c r="G284" i="76"/>
  <c r="G285" i="76"/>
  <c r="G286" i="76"/>
  <c r="G287" i="76"/>
  <c r="G288" i="76"/>
  <c r="G289" i="76"/>
  <c r="G290" i="76"/>
  <c r="G291" i="76"/>
  <c r="G292" i="76"/>
  <c r="G293" i="76"/>
  <c r="G294" i="76"/>
  <c r="G295" i="76"/>
  <c r="G296" i="76"/>
  <c r="G297" i="76"/>
  <c r="G298" i="76"/>
  <c r="G299" i="76"/>
  <c r="G300" i="76"/>
  <c r="G301" i="76"/>
  <c r="G302" i="76"/>
  <c r="G303" i="76"/>
  <c r="G304" i="76"/>
  <c r="G305" i="76"/>
  <c r="G306" i="76"/>
  <c r="G307" i="76"/>
  <c r="G308" i="76"/>
  <c r="G309" i="76"/>
  <c r="G310" i="76"/>
  <c r="G311" i="76"/>
  <c r="G312" i="76"/>
  <c r="G313" i="76"/>
  <c r="G314" i="76"/>
  <c r="G315" i="76"/>
  <c r="G316" i="76"/>
  <c r="G317" i="76"/>
  <c r="G318" i="76"/>
  <c r="G319" i="76"/>
  <c r="G320" i="76"/>
  <c r="G321" i="76"/>
  <c r="G322" i="76"/>
  <c r="G323" i="76"/>
  <c r="G324" i="76"/>
  <c r="G325" i="76"/>
  <c r="G326" i="76"/>
  <c r="G327" i="76"/>
  <c r="G328" i="76"/>
  <c r="G329" i="76"/>
  <c r="G330" i="76"/>
  <c r="G331" i="76"/>
  <c r="G332" i="76"/>
  <c r="G333" i="76"/>
  <c r="G334" i="76"/>
  <c r="G335" i="76"/>
  <c r="B269" i="76"/>
  <c r="B270" i="76"/>
  <c r="B271" i="76"/>
  <c r="B272" i="76"/>
  <c r="B273" i="76"/>
  <c r="B274" i="76"/>
  <c r="B275" i="76"/>
  <c r="B276" i="76"/>
  <c r="B277" i="76"/>
  <c r="B278" i="76"/>
  <c r="B279" i="76"/>
  <c r="B280" i="76"/>
  <c r="B281" i="76"/>
  <c r="B282" i="76"/>
  <c r="B283" i="76"/>
  <c r="B284" i="76"/>
  <c r="B285" i="76"/>
  <c r="B286" i="76"/>
  <c r="B287" i="76"/>
  <c r="B288" i="76"/>
  <c r="B289" i="76"/>
  <c r="B290" i="76"/>
  <c r="B291" i="76"/>
  <c r="B292" i="76"/>
  <c r="B293" i="76"/>
  <c r="B294" i="76"/>
  <c r="B295" i="76"/>
  <c r="B296" i="76"/>
  <c r="B297" i="76"/>
  <c r="B298" i="76"/>
  <c r="B299" i="76"/>
  <c r="B300" i="76"/>
  <c r="B301" i="76"/>
  <c r="B302" i="76"/>
  <c r="B303" i="76"/>
  <c r="B304" i="76"/>
  <c r="B305" i="76"/>
  <c r="B306" i="76"/>
  <c r="B307" i="76"/>
  <c r="B308" i="76"/>
  <c r="B309" i="76"/>
  <c r="B310" i="76"/>
  <c r="B311" i="76"/>
  <c r="B312" i="76"/>
  <c r="B313" i="76"/>
  <c r="B314" i="76"/>
  <c r="B315" i="76"/>
  <c r="B316" i="76"/>
  <c r="B317" i="76"/>
  <c r="B318" i="76"/>
  <c r="B319" i="76"/>
  <c r="B320" i="76"/>
  <c r="B321" i="76"/>
  <c r="B322" i="76"/>
  <c r="B323" i="76"/>
  <c r="B324" i="76"/>
  <c r="B325" i="76"/>
  <c r="B326" i="76"/>
  <c r="B327" i="76"/>
  <c r="B328" i="76"/>
  <c r="B329" i="76"/>
  <c r="B330" i="76"/>
  <c r="B331" i="76"/>
  <c r="B332" i="76"/>
  <c r="B333" i="76"/>
  <c r="B334" i="76"/>
  <c r="B335" i="76"/>
  <c r="J268" i="76"/>
  <c r="I268" i="76"/>
  <c r="H268" i="76"/>
  <c r="G268" i="76"/>
  <c r="B268" i="76"/>
  <c r="P181" i="76"/>
  <c r="O181" i="76"/>
  <c r="O216" i="76"/>
  <c r="P216" i="76"/>
  <c r="O217" i="76"/>
  <c r="P217" i="76"/>
  <c r="O218" i="76"/>
  <c r="P218" i="76"/>
  <c r="O219" i="76"/>
  <c r="P219" i="76"/>
  <c r="O220" i="76"/>
  <c r="P220" i="76"/>
  <c r="O221" i="76"/>
  <c r="P221" i="76"/>
  <c r="P215" i="76"/>
  <c r="O215" i="76"/>
  <c r="P182" i="76"/>
  <c r="P183" i="76"/>
  <c r="P184" i="76"/>
  <c r="P185" i="76"/>
  <c r="P186" i="76"/>
  <c r="P187" i="76"/>
  <c r="P188" i="76"/>
  <c r="P189" i="76"/>
  <c r="P190" i="76"/>
  <c r="P191" i="76"/>
  <c r="P192" i="76"/>
  <c r="P193" i="76"/>
  <c r="P194" i="76"/>
  <c r="P195" i="76"/>
  <c r="P196" i="76"/>
  <c r="P197" i="76"/>
  <c r="P198" i="76"/>
  <c r="P199" i="76"/>
  <c r="P200" i="76"/>
  <c r="P201" i="76"/>
  <c r="P202" i="76"/>
  <c r="P203" i="76"/>
  <c r="P204" i="76"/>
  <c r="P205" i="76"/>
  <c r="P206" i="76"/>
  <c r="P207" i="76"/>
  <c r="P208" i="76"/>
  <c r="P209" i="76"/>
  <c r="P210" i="76"/>
  <c r="P211" i="76"/>
  <c r="P212" i="76"/>
  <c r="P213" i="76"/>
  <c r="P214" i="76"/>
  <c r="P222" i="76"/>
  <c r="P223" i="76"/>
  <c r="P224" i="76"/>
  <c r="P225" i="76"/>
  <c r="P226" i="76"/>
  <c r="P227" i="76"/>
  <c r="P228" i="76"/>
  <c r="P229" i="76"/>
  <c r="P230" i="76"/>
  <c r="P231" i="76"/>
  <c r="P232" i="76"/>
  <c r="P233" i="76"/>
  <c r="P234" i="76"/>
  <c r="P235" i="76"/>
  <c r="P236" i="76"/>
  <c r="P237" i="76"/>
  <c r="P238" i="76"/>
  <c r="P239" i="76"/>
  <c r="P240" i="76"/>
  <c r="P241" i="76"/>
  <c r="P242" i="76"/>
  <c r="P243" i="76"/>
  <c r="P244" i="76"/>
  <c r="P245" i="76"/>
  <c r="P246" i="76"/>
  <c r="P247" i="76"/>
  <c r="P248" i="76"/>
  <c r="P249" i="76"/>
  <c r="P250" i="76"/>
  <c r="P251" i="76"/>
  <c r="P252" i="76"/>
  <c r="P253" i="76"/>
  <c r="P254" i="76"/>
  <c r="P255" i="76"/>
  <c r="P256" i="76"/>
  <c r="P257" i="76"/>
  <c r="P258" i="76"/>
  <c r="P259" i="76"/>
  <c r="P260" i="76"/>
  <c r="P261" i="76"/>
  <c r="P262" i="76"/>
  <c r="P263" i="76"/>
  <c r="P264" i="76"/>
  <c r="P265" i="76"/>
  <c r="P266" i="76"/>
  <c r="P267" i="76"/>
  <c r="O182" i="76"/>
  <c r="O183" i="76"/>
  <c r="O184" i="76"/>
  <c r="O185" i="76"/>
  <c r="O186" i="76"/>
  <c r="O187" i="76"/>
  <c r="O188" i="76"/>
  <c r="O189" i="76"/>
  <c r="O190" i="76"/>
  <c r="O191" i="76"/>
  <c r="O192" i="76"/>
  <c r="O193" i="76"/>
  <c r="O194" i="76"/>
  <c r="O195" i="76"/>
  <c r="O196" i="76"/>
  <c r="O197" i="76"/>
  <c r="O198" i="76"/>
  <c r="O199" i="76"/>
  <c r="O200" i="76"/>
  <c r="O201" i="76"/>
  <c r="O202" i="76"/>
  <c r="O203" i="76"/>
  <c r="O204" i="76"/>
  <c r="O205" i="76"/>
  <c r="O206" i="76"/>
  <c r="O207" i="76"/>
  <c r="O208" i="76"/>
  <c r="O209" i="76"/>
  <c r="O210" i="76"/>
  <c r="O211" i="76"/>
  <c r="O212" i="76"/>
  <c r="O213" i="76"/>
  <c r="O214" i="76"/>
  <c r="O222" i="76"/>
  <c r="O223" i="76"/>
  <c r="O224" i="76"/>
  <c r="O225" i="76"/>
  <c r="O226" i="76"/>
  <c r="O227" i="76"/>
  <c r="O228" i="76"/>
  <c r="O229" i="76"/>
  <c r="O230" i="76"/>
  <c r="O231" i="76"/>
  <c r="O232" i="76"/>
  <c r="O233" i="76"/>
  <c r="O234" i="76"/>
  <c r="O235" i="76"/>
  <c r="O236" i="76"/>
  <c r="O237" i="76"/>
  <c r="O238" i="76"/>
  <c r="O239" i="76"/>
  <c r="O240" i="76"/>
  <c r="O241" i="76"/>
  <c r="O242" i="76"/>
  <c r="O243" i="76"/>
  <c r="O244" i="76"/>
  <c r="O245" i="76"/>
  <c r="O246" i="76"/>
  <c r="O247" i="76"/>
  <c r="O248" i="76"/>
  <c r="O249" i="76"/>
  <c r="O250" i="76"/>
  <c r="O251" i="76"/>
  <c r="O252" i="76"/>
  <c r="O253" i="76"/>
  <c r="O254" i="76"/>
  <c r="O255" i="76"/>
  <c r="O256" i="76"/>
  <c r="O257" i="76"/>
  <c r="O258" i="76"/>
  <c r="O259" i="76"/>
  <c r="O260" i="76"/>
  <c r="O261" i="76"/>
  <c r="O262" i="76"/>
  <c r="O263" i="76"/>
  <c r="O264" i="76"/>
  <c r="O265" i="76"/>
  <c r="O266" i="76"/>
  <c r="O267" i="76"/>
  <c r="H182" i="76"/>
  <c r="I182" i="76"/>
  <c r="J182" i="76"/>
  <c r="H183" i="76"/>
  <c r="I183" i="76"/>
  <c r="J183" i="76"/>
  <c r="H184" i="76"/>
  <c r="I184" i="76"/>
  <c r="J184" i="76"/>
  <c r="H185" i="76"/>
  <c r="I185" i="76"/>
  <c r="J185" i="76"/>
  <c r="H186" i="76"/>
  <c r="I186" i="76"/>
  <c r="J186" i="76"/>
  <c r="H187" i="76"/>
  <c r="I187" i="76"/>
  <c r="J187" i="76"/>
  <c r="H188" i="76"/>
  <c r="I188" i="76"/>
  <c r="J188" i="76"/>
  <c r="H189" i="76"/>
  <c r="I189" i="76"/>
  <c r="J189" i="76"/>
  <c r="H190" i="76"/>
  <c r="I190" i="76"/>
  <c r="J190" i="76"/>
  <c r="H191" i="76"/>
  <c r="I191" i="76"/>
  <c r="J191" i="76"/>
  <c r="H192" i="76"/>
  <c r="I192" i="76"/>
  <c r="J192" i="76"/>
  <c r="H193" i="76"/>
  <c r="I193" i="76"/>
  <c r="J193" i="76"/>
  <c r="H194" i="76"/>
  <c r="I194" i="76"/>
  <c r="J194" i="76"/>
  <c r="H195" i="76"/>
  <c r="I195" i="76"/>
  <c r="J195" i="76"/>
  <c r="H196" i="76"/>
  <c r="I196" i="76"/>
  <c r="J196" i="76"/>
  <c r="H197" i="76"/>
  <c r="I197" i="76"/>
  <c r="J197" i="76"/>
  <c r="H198" i="76"/>
  <c r="I198" i="76"/>
  <c r="J198" i="76"/>
  <c r="H199" i="76"/>
  <c r="I199" i="76"/>
  <c r="J199" i="76"/>
  <c r="H200" i="76"/>
  <c r="I200" i="76"/>
  <c r="J200" i="76"/>
  <c r="H201" i="76"/>
  <c r="I201" i="76"/>
  <c r="J201" i="76"/>
  <c r="H202" i="76"/>
  <c r="I202" i="76"/>
  <c r="J202" i="76"/>
  <c r="H203" i="76"/>
  <c r="I203" i="76"/>
  <c r="J203" i="76"/>
  <c r="H204" i="76"/>
  <c r="I204" i="76"/>
  <c r="J204" i="76"/>
  <c r="H205" i="76"/>
  <c r="I205" i="76"/>
  <c r="J205" i="76"/>
  <c r="H206" i="76"/>
  <c r="I206" i="76"/>
  <c r="J206" i="76"/>
  <c r="H207" i="76"/>
  <c r="I207" i="76"/>
  <c r="J207" i="76"/>
  <c r="H208" i="76"/>
  <c r="I208" i="76"/>
  <c r="J208" i="76"/>
  <c r="H209" i="76"/>
  <c r="I209" i="76"/>
  <c r="J209" i="76"/>
  <c r="H210" i="76"/>
  <c r="I210" i="76"/>
  <c r="J210" i="76"/>
  <c r="H211" i="76"/>
  <c r="I211" i="76"/>
  <c r="J211" i="76"/>
  <c r="H212" i="76"/>
  <c r="I212" i="76"/>
  <c r="J212" i="76"/>
  <c r="H213" i="76"/>
  <c r="I213" i="76"/>
  <c r="J213" i="76"/>
  <c r="H214" i="76"/>
  <c r="I214" i="76"/>
  <c r="J214" i="76"/>
  <c r="H215" i="76"/>
  <c r="I215" i="76"/>
  <c r="J215" i="76"/>
  <c r="H216" i="76"/>
  <c r="I216" i="76"/>
  <c r="J216" i="76"/>
  <c r="H217" i="76"/>
  <c r="I217" i="76"/>
  <c r="J217" i="76"/>
  <c r="H218" i="76"/>
  <c r="I218" i="76"/>
  <c r="J218" i="76"/>
  <c r="H219" i="76"/>
  <c r="I219" i="76"/>
  <c r="J219" i="76"/>
  <c r="H220" i="76"/>
  <c r="I220" i="76"/>
  <c r="J220" i="76"/>
  <c r="H221" i="76"/>
  <c r="I221" i="76"/>
  <c r="J221" i="76"/>
  <c r="H222" i="76"/>
  <c r="I222" i="76"/>
  <c r="J222" i="76"/>
  <c r="H223" i="76"/>
  <c r="I223" i="76"/>
  <c r="J223" i="76"/>
  <c r="H224" i="76"/>
  <c r="I224" i="76"/>
  <c r="J224" i="76"/>
  <c r="H225" i="76"/>
  <c r="I225" i="76"/>
  <c r="J225" i="76"/>
  <c r="H226" i="76"/>
  <c r="I226" i="76"/>
  <c r="J226" i="76"/>
  <c r="H227" i="76"/>
  <c r="I227" i="76"/>
  <c r="J227" i="76"/>
  <c r="H228" i="76"/>
  <c r="I228" i="76"/>
  <c r="J228" i="76"/>
  <c r="H229" i="76"/>
  <c r="I229" i="76"/>
  <c r="J229" i="76"/>
  <c r="H230" i="76"/>
  <c r="I230" i="76"/>
  <c r="J230" i="76"/>
  <c r="H231" i="76"/>
  <c r="I231" i="76"/>
  <c r="J231" i="76"/>
  <c r="H232" i="76"/>
  <c r="I232" i="76"/>
  <c r="J232" i="76"/>
  <c r="H233" i="76"/>
  <c r="I233" i="76"/>
  <c r="J233" i="76"/>
  <c r="H234" i="76"/>
  <c r="I234" i="76"/>
  <c r="J234" i="76"/>
  <c r="H235" i="76"/>
  <c r="I235" i="76"/>
  <c r="J235" i="76"/>
  <c r="H236" i="76"/>
  <c r="I236" i="76"/>
  <c r="J236" i="76"/>
  <c r="H237" i="76"/>
  <c r="I237" i="76"/>
  <c r="J237" i="76"/>
  <c r="H238" i="76"/>
  <c r="I238" i="76"/>
  <c r="J238" i="76"/>
  <c r="H239" i="76"/>
  <c r="I239" i="76"/>
  <c r="J239" i="76"/>
  <c r="H240" i="76"/>
  <c r="I240" i="76"/>
  <c r="J240" i="76"/>
  <c r="H241" i="76"/>
  <c r="I241" i="76"/>
  <c r="J241" i="76"/>
  <c r="H242" i="76"/>
  <c r="I242" i="76"/>
  <c r="J242" i="76"/>
  <c r="H243" i="76"/>
  <c r="I243" i="76"/>
  <c r="J243" i="76"/>
  <c r="H244" i="76"/>
  <c r="I244" i="76"/>
  <c r="J244" i="76"/>
  <c r="H245" i="76"/>
  <c r="I245" i="76"/>
  <c r="J245" i="76"/>
  <c r="H246" i="76"/>
  <c r="I246" i="76"/>
  <c r="J246" i="76"/>
  <c r="H247" i="76"/>
  <c r="I247" i="76"/>
  <c r="J247" i="76"/>
  <c r="H248" i="76"/>
  <c r="I248" i="76"/>
  <c r="J248" i="76"/>
  <c r="H249" i="76"/>
  <c r="I249" i="76"/>
  <c r="J249" i="76"/>
  <c r="H250" i="76"/>
  <c r="I250" i="76"/>
  <c r="J250" i="76"/>
  <c r="H251" i="76"/>
  <c r="I251" i="76"/>
  <c r="J251" i="76"/>
  <c r="H252" i="76"/>
  <c r="I252" i="76"/>
  <c r="J252" i="76"/>
  <c r="H253" i="76"/>
  <c r="I253" i="76"/>
  <c r="J253" i="76"/>
  <c r="H254" i="76"/>
  <c r="I254" i="76"/>
  <c r="J254" i="76"/>
  <c r="H255" i="76"/>
  <c r="I255" i="76"/>
  <c r="J255" i="76"/>
  <c r="H256" i="76"/>
  <c r="I256" i="76"/>
  <c r="J256" i="76"/>
  <c r="H257" i="76"/>
  <c r="I257" i="76"/>
  <c r="J257" i="76"/>
  <c r="H258" i="76"/>
  <c r="I258" i="76"/>
  <c r="J258" i="76"/>
  <c r="H259" i="76"/>
  <c r="I259" i="76"/>
  <c r="J259" i="76"/>
  <c r="H260" i="76"/>
  <c r="I260" i="76"/>
  <c r="J260" i="76"/>
  <c r="H261" i="76"/>
  <c r="I261" i="76"/>
  <c r="J261" i="76"/>
  <c r="H262" i="76"/>
  <c r="I262" i="76"/>
  <c r="J262" i="76"/>
  <c r="H263" i="76"/>
  <c r="I263" i="76"/>
  <c r="J263" i="76"/>
  <c r="H264" i="76"/>
  <c r="I264" i="76"/>
  <c r="J264" i="76"/>
  <c r="H265" i="76"/>
  <c r="I265" i="76"/>
  <c r="J265" i="76"/>
  <c r="H266" i="76"/>
  <c r="I266" i="76"/>
  <c r="J266" i="76"/>
  <c r="H267" i="76"/>
  <c r="I267" i="76"/>
  <c r="J267" i="76"/>
  <c r="G182" i="76"/>
  <c r="G183" i="76"/>
  <c r="G184" i="76"/>
  <c r="G185" i="76"/>
  <c r="G186" i="76"/>
  <c r="G187" i="76"/>
  <c r="G188" i="76"/>
  <c r="G189" i="76"/>
  <c r="G190" i="76"/>
  <c r="G191" i="76"/>
  <c r="G192" i="76"/>
  <c r="G193" i="76"/>
  <c r="G194" i="76"/>
  <c r="G195" i="76"/>
  <c r="G196" i="76"/>
  <c r="G197" i="76"/>
  <c r="G198" i="76"/>
  <c r="G199" i="76"/>
  <c r="G200" i="76"/>
  <c r="G201" i="76"/>
  <c r="G202" i="76"/>
  <c r="G203" i="76"/>
  <c r="G204" i="76"/>
  <c r="G205" i="76"/>
  <c r="G206" i="76"/>
  <c r="G207" i="76"/>
  <c r="G208" i="76"/>
  <c r="G209" i="76"/>
  <c r="G210" i="76"/>
  <c r="G211" i="76"/>
  <c r="G212" i="76"/>
  <c r="G213" i="76"/>
  <c r="G214" i="76"/>
  <c r="G215" i="76"/>
  <c r="G216" i="76"/>
  <c r="G217" i="76"/>
  <c r="G218" i="76"/>
  <c r="G219" i="76"/>
  <c r="G220" i="76"/>
  <c r="G221" i="76"/>
  <c r="G222" i="76"/>
  <c r="G223" i="76"/>
  <c r="G224" i="76"/>
  <c r="G225" i="76"/>
  <c r="G226" i="76"/>
  <c r="G227" i="76"/>
  <c r="G228" i="76"/>
  <c r="G229" i="76"/>
  <c r="G230" i="76"/>
  <c r="G231" i="76"/>
  <c r="G232" i="76"/>
  <c r="G233" i="76"/>
  <c r="G234" i="76"/>
  <c r="G235" i="76"/>
  <c r="G236" i="76"/>
  <c r="G237" i="76"/>
  <c r="G238" i="76"/>
  <c r="G239" i="76"/>
  <c r="G240" i="76"/>
  <c r="G241" i="76"/>
  <c r="G242" i="76"/>
  <c r="G243" i="76"/>
  <c r="G244" i="76"/>
  <c r="G245" i="76"/>
  <c r="G246" i="76"/>
  <c r="G247" i="76"/>
  <c r="G248" i="76"/>
  <c r="G249" i="76"/>
  <c r="G250" i="76"/>
  <c r="G251" i="76"/>
  <c r="G252" i="76"/>
  <c r="G253" i="76"/>
  <c r="G254" i="76"/>
  <c r="G255" i="76"/>
  <c r="G256" i="76"/>
  <c r="G257" i="76"/>
  <c r="G258" i="76"/>
  <c r="G259" i="76"/>
  <c r="G260" i="76"/>
  <c r="G261" i="76"/>
  <c r="G262" i="76"/>
  <c r="G263" i="76"/>
  <c r="G264" i="76"/>
  <c r="G265" i="76"/>
  <c r="G266" i="76"/>
  <c r="G267" i="76"/>
  <c r="G181" i="76"/>
  <c r="B182" i="76"/>
  <c r="B183" i="76"/>
  <c r="B184" i="76"/>
  <c r="B185" i="76"/>
  <c r="B186" i="76"/>
  <c r="B187" i="76"/>
  <c r="B188" i="76"/>
  <c r="B189" i="76"/>
  <c r="B190" i="76"/>
  <c r="B191" i="76"/>
  <c r="B192" i="76"/>
  <c r="B193" i="76"/>
  <c r="B194" i="76"/>
  <c r="B195" i="76"/>
  <c r="B196" i="76"/>
  <c r="B197" i="76"/>
  <c r="B198" i="76"/>
  <c r="B199" i="76"/>
  <c r="B200" i="76"/>
  <c r="B201" i="76"/>
  <c r="B202" i="76"/>
  <c r="B203" i="76"/>
  <c r="B204" i="76"/>
  <c r="B205" i="76"/>
  <c r="B206" i="76"/>
  <c r="B207" i="76"/>
  <c r="B208" i="76"/>
  <c r="B209" i="76"/>
  <c r="B210" i="76"/>
  <c r="B211" i="76"/>
  <c r="B212" i="76"/>
  <c r="B213" i="76"/>
  <c r="B214" i="76"/>
  <c r="B215" i="76"/>
  <c r="B216" i="76"/>
  <c r="B217" i="76"/>
  <c r="B218" i="76"/>
  <c r="B219" i="76"/>
  <c r="B220" i="76"/>
  <c r="B221" i="76"/>
  <c r="B222" i="76"/>
  <c r="B223" i="76"/>
  <c r="B224" i="76"/>
  <c r="B225" i="76"/>
  <c r="B226" i="76"/>
  <c r="B227" i="76"/>
  <c r="B228" i="76"/>
  <c r="B229" i="76"/>
  <c r="B230" i="76"/>
  <c r="B231" i="76"/>
  <c r="B232" i="76"/>
  <c r="B233" i="76"/>
  <c r="B234" i="76"/>
  <c r="B235" i="76"/>
  <c r="B236" i="76"/>
  <c r="B237" i="76"/>
  <c r="B238" i="76"/>
  <c r="B239" i="76"/>
  <c r="B240" i="76"/>
  <c r="B241" i="76"/>
  <c r="B242" i="76"/>
  <c r="B243" i="76"/>
  <c r="B244" i="76"/>
  <c r="B245" i="76"/>
  <c r="B246" i="76"/>
  <c r="B247" i="76"/>
  <c r="B248" i="76"/>
  <c r="B249" i="76"/>
  <c r="B250" i="76"/>
  <c r="B251" i="76"/>
  <c r="B252" i="76"/>
  <c r="B253" i="76"/>
  <c r="B254" i="76"/>
  <c r="B255" i="76"/>
  <c r="B256" i="76"/>
  <c r="B257" i="76"/>
  <c r="B258" i="76"/>
  <c r="B259" i="76"/>
  <c r="B260" i="76"/>
  <c r="B261" i="76"/>
  <c r="B262" i="76"/>
  <c r="B263" i="76"/>
  <c r="B264" i="76"/>
  <c r="B265" i="76"/>
  <c r="B266" i="76"/>
  <c r="B267" i="76"/>
  <c r="J181" i="76"/>
  <c r="I181" i="76"/>
  <c r="H181" i="76"/>
  <c r="O177" i="76"/>
  <c r="P177" i="76"/>
  <c r="O178" i="76"/>
  <c r="P178" i="76"/>
  <c r="O179" i="76"/>
  <c r="P179" i="76"/>
  <c r="O180" i="76"/>
  <c r="P180" i="76"/>
  <c r="H177" i="76"/>
  <c r="I177" i="76"/>
  <c r="J177" i="76"/>
  <c r="H178" i="76"/>
  <c r="I178" i="76"/>
  <c r="J178" i="76"/>
  <c r="H179" i="76"/>
  <c r="I179" i="76"/>
  <c r="J179" i="76"/>
  <c r="H180" i="76"/>
  <c r="I180" i="76"/>
  <c r="J180" i="76"/>
  <c r="G177" i="76"/>
  <c r="G178" i="76"/>
  <c r="G179" i="76"/>
  <c r="G180" i="76"/>
  <c r="B177" i="76"/>
  <c r="B178" i="76"/>
  <c r="B179" i="76"/>
  <c r="B180" i="76"/>
  <c r="P176" i="76"/>
  <c r="O176" i="76"/>
  <c r="J176" i="76"/>
  <c r="I176" i="76"/>
  <c r="H176" i="76"/>
  <c r="G176" i="76"/>
  <c r="B176" i="76"/>
  <c r="O173" i="76"/>
  <c r="P173" i="76"/>
  <c r="O174" i="76"/>
  <c r="P174" i="76"/>
  <c r="O175" i="76"/>
  <c r="P175" i="76"/>
  <c r="H173" i="76"/>
  <c r="I173" i="76"/>
  <c r="J173" i="76"/>
  <c r="H174" i="76"/>
  <c r="I174" i="76"/>
  <c r="J174" i="76"/>
  <c r="H175" i="76"/>
  <c r="I175" i="76"/>
  <c r="J175" i="76"/>
  <c r="G173" i="76"/>
  <c r="G174" i="76"/>
  <c r="G175" i="76"/>
  <c r="B173" i="76"/>
  <c r="B174" i="76"/>
  <c r="B175" i="76"/>
  <c r="P172" i="76"/>
  <c r="O172" i="76"/>
  <c r="J172" i="76"/>
  <c r="I172" i="76"/>
  <c r="H172" i="76"/>
  <c r="G172" i="76"/>
  <c r="B172" i="76"/>
  <c r="O161" i="76"/>
  <c r="P161" i="76"/>
  <c r="O162" i="76"/>
  <c r="P162" i="76"/>
  <c r="O163" i="76"/>
  <c r="P163" i="76"/>
  <c r="O164" i="76"/>
  <c r="P164" i="76"/>
  <c r="O165" i="76"/>
  <c r="P165" i="76"/>
  <c r="O166" i="76"/>
  <c r="P166" i="76"/>
  <c r="O167" i="76"/>
  <c r="P167" i="76"/>
  <c r="O168" i="76"/>
  <c r="P168" i="76"/>
  <c r="O169" i="76"/>
  <c r="P169" i="76"/>
  <c r="O170" i="76"/>
  <c r="P170" i="76"/>
  <c r="O171" i="76"/>
  <c r="P171" i="76"/>
  <c r="H161" i="76"/>
  <c r="I161" i="76"/>
  <c r="J161" i="76"/>
  <c r="H162" i="76"/>
  <c r="I162" i="76"/>
  <c r="J162" i="76"/>
  <c r="H163" i="76"/>
  <c r="I163" i="76"/>
  <c r="J163" i="76"/>
  <c r="H164" i="76"/>
  <c r="I164" i="76"/>
  <c r="J164" i="76"/>
  <c r="H165" i="76"/>
  <c r="I165" i="76"/>
  <c r="J165" i="76"/>
  <c r="H166" i="76"/>
  <c r="I166" i="76"/>
  <c r="J166" i="76"/>
  <c r="H167" i="76"/>
  <c r="I167" i="76"/>
  <c r="J167" i="76"/>
  <c r="H168" i="76"/>
  <c r="I168" i="76"/>
  <c r="J168" i="76"/>
  <c r="H169" i="76"/>
  <c r="I169" i="76"/>
  <c r="J169" i="76"/>
  <c r="H170" i="76"/>
  <c r="I170" i="76"/>
  <c r="J170" i="76"/>
  <c r="H171" i="76"/>
  <c r="I171" i="76"/>
  <c r="J171" i="76"/>
  <c r="G161" i="76"/>
  <c r="G162" i="76"/>
  <c r="G163" i="76"/>
  <c r="G164" i="76"/>
  <c r="G165" i="76"/>
  <c r="G166" i="76"/>
  <c r="G167" i="76"/>
  <c r="G168" i="76"/>
  <c r="G169" i="76"/>
  <c r="G170" i="76"/>
  <c r="G171" i="76"/>
  <c r="B161" i="76"/>
  <c r="B162" i="76"/>
  <c r="B163" i="76"/>
  <c r="B164" i="76"/>
  <c r="B165" i="76"/>
  <c r="B166" i="76"/>
  <c r="B167" i="76"/>
  <c r="B168" i="76"/>
  <c r="B169" i="76"/>
  <c r="B170" i="76"/>
  <c r="B171" i="76"/>
  <c r="J160" i="76"/>
  <c r="I160" i="76"/>
  <c r="H160" i="76"/>
  <c r="G160" i="76"/>
  <c r="B160" i="76"/>
  <c r="O143" i="76"/>
  <c r="P143" i="76"/>
  <c r="O144" i="76"/>
  <c r="P144" i="76"/>
  <c r="O145" i="76"/>
  <c r="P145" i="76"/>
  <c r="O146" i="76"/>
  <c r="P146" i="76"/>
  <c r="I143" i="76"/>
  <c r="J143" i="76"/>
  <c r="I144" i="76"/>
  <c r="J144" i="76"/>
  <c r="I145" i="76"/>
  <c r="J145" i="76"/>
  <c r="I146" i="76"/>
  <c r="J146" i="76"/>
  <c r="H143" i="76"/>
  <c r="H144" i="76"/>
  <c r="H145" i="76"/>
  <c r="H146" i="76"/>
  <c r="G143" i="76"/>
  <c r="G144" i="76"/>
  <c r="G145" i="76"/>
  <c r="G146" i="76"/>
  <c r="B143" i="76"/>
  <c r="B144" i="76"/>
  <c r="B145" i="76"/>
  <c r="B146" i="76"/>
  <c r="P142" i="76"/>
  <c r="O142" i="76"/>
  <c r="J142" i="76"/>
  <c r="I142" i="76"/>
  <c r="H142" i="76"/>
  <c r="G142" i="76"/>
  <c r="B142" i="76"/>
  <c r="O156" i="76"/>
  <c r="Q156" i="76" s="1"/>
  <c r="P156" i="76"/>
  <c r="O157" i="76"/>
  <c r="P157" i="76"/>
  <c r="O158" i="76"/>
  <c r="P158" i="76"/>
  <c r="O159" i="76"/>
  <c r="P159" i="76"/>
  <c r="H156" i="76"/>
  <c r="I156" i="76"/>
  <c r="J156" i="76"/>
  <c r="H157" i="76"/>
  <c r="I157" i="76"/>
  <c r="J157" i="76"/>
  <c r="H158" i="76"/>
  <c r="I158" i="76"/>
  <c r="J158" i="76"/>
  <c r="H159" i="76"/>
  <c r="I159" i="76"/>
  <c r="J159" i="76"/>
  <c r="G156" i="76"/>
  <c r="G157" i="76"/>
  <c r="G158" i="76"/>
  <c r="G159" i="76"/>
  <c r="B156" i="76"/>
  <c r="B157" i="76"/>
  <c r="B158" i="76"/>
  <c r="B159" i="76"/>
  <c r="P155" i="76"/>
  <c r="O155" i="76"/>
  <c r="J155" i="76"/>
  <c r="I155" i="76"/>
  <c r="H155" i="76"/>
  <c r="G155" i="76"/>
  <c r="B155" i="76"/>
  <c r="O147" i="76"/>
  <c r="P147" i="76"/>
  <c r="O148" i="76"/>
  <c r="P148" i="76"/>
  <c r="O149" i="76"/>
  <c r="P149" i="76"/>
  <c r="O150" i="76"/>
  <c r="P150" i="76"/>
  <c r="O151" i="76"/>
  <c r="P151" i="76"/>
  <c r="O152" i="76"/>
  <c r="P152" i="76"/>
  <c r="O153" i="76"/>
  <c r="P153" i="76"/>
  <c r="O154" i="76"/>
  <c r="P154" i="76"/>
  <c r="H147" i="76"/>
  <c r="I147" i="76"/>
  <c r="J147" i="76"/>
  <c r="H148" i="76"/>
  <c r="I148" i="76"/>
  <c r="J148" i="76"/>
  <c r="H149" i="76"/>
  <c r="I149" i="76"/>
  <c r="J149" i="76"/>
  <c r="H150" i="76"/>
  <c r="I150" i="76"/>
  <c r="J150" i="76"/>
  <c r="H151" i="76"/>
  <c r="I151" i="76"/>
  <c r="J151" i="76"/>
  <c r="H152" i="76"/>
  <c r="I152" i="76"/>
  <c r="J152" i="76"/>
  <c r="H153" i="76"/>
  <c r="I153" i="76"/>
  <c r="J153" i="76"/>
  <c r="H154" i="76"/>
  <c r="I154" i="76"/>
  <c r="J154" i="76"/>
  <c r="G147" i="76"/>
  <c r="G148" i="76"/>
  <c r="G149" i="76"/>
  <c r="G150" i="76"/>
  <c r="G151" i="76"/>
  <c r="G152" i="76"/>
  <c r="G153" i="76"/>
  <c r="G154" i="76"/>
  <c r="B147" i="76"/>
  <c r="B148" i="76"/>
  <c r="B149" i="76"/>
  <c r="B150" i="76"/>
  <c r="B151" i="76"/>
  <c r="B152" i="76"/>
  <c r="B153" i="76"/>
  <c r="B154" i="76"/>
  <c r="J141" i="76"/>
  <c r="I141" i="76"/>
  <c r="H141" i="76"/>
  <c r="G141" i="76"/>
  <c r="B141" i="76"/>
  <c r="O132" i="76"/>
  <c r="P132" i="76"/>
  <c r="O133" i="76"/>
  <c r="P133" i="76"/>
  <c r="O134" i="76"/>
  <c r="P134" i="76"/>
  <c r="O135" i="76"/>
  <c r="P135" i="76"/>
  <c r="J132" i="76"/>
  <c r="J133" i="76"/>
  <c r="J134" i="76"/>
  <c r="J135" i="76"/>
  <c r="H132" i="76"/>
  <c r="I132" i="76"/>
  <c r="H133" i="76"/>
  <c r="I133" i="76"/>
  <c r="H134" i="76"/>
  <c r="I134" i="76"/>
  <c r="H135" i="76"/>
  <c r="I135" i="76"/>
  <c r="G132" i="76"/>
  <c r="G133" i="76"/>
  <c r="G134" i="76"/>
  <c r="G135" i="76"/>
  <c r="B132" i="76"/>
  <c r="B133" i="76"/>
  <c r="B134" i="76"/>
  <c r="B135" i="76"/>
  <c r="P131" i="76"/>
  <c r="O131" i="76"/>
  <c r="J131" i="76"/>
  <c r="I131" i="76"/>
  <c r="H131" i="76"/>
  <c r="G131" i="76"/>
  <c r="B131" i="76"/>
  <c r="O136" i="76"/>
  <c r="P136" i="76"/>
  <c r="O137" i="76"/>
  <c r="P137" i="76"/>
  <c r="O138" i="76"/>
  <c r="P138" i="76"/>
  <c r="O139" i="76"/>
  <c r="P139" i="76"/>
  <c r="O140" i="76"/>
  <c r="P140" i="76"/>
  <c r="I136" i="76"/>
  <c r="J136" i="76"/>
  <c r="I137" i="76"/>
  <c r="J137" i="76"/>
  <c r="I138" i="76"/>
  <c r="J138" i="76"/>
  <c r="I139" i="76"/>
  <c r="J139" i="76"/>
  <c r="I140" i="76"/>
  <c r="J140" i="76"/>
  <c r="G136" i="76"/>
  <c r="H136" i="76"/>
  <c r="G137" i="76"/>
  <c r="H137" i="76"/>
  <c r="G138" i="76"/>
  <c r="H138" i="76"/>
  <c r="G139" i="76"/>
  <c r="H139" i="76"/>
  <c r="G140" i="76"/>
  <c r="H140" i="76"/>
  <c r="B136" i="76"/>
  <c r="B137" i="76"/>
  <c r="B138" i="76"/>
  <c r="B139" i="76"/>
  <c r="B140" i="76"/>
  <c r="J130" i="76"/>
  <c r="I130" i="76"/>
  <c r="H130" i="76"/>
  <c r="G130" i="76"/>
  <c r="B130" i="76"/>
  <c r="O121" i="76"/>
  <c r="O120" i="76" s="1"/>
  <c r="P121" i="76"/>
  <c r="O122" i="76"/>
  <c r="P122" i="76"/>
  <c r="O123" i="76"/>
  <c r="P123" i="76"/>
  <c r="O124" i="76"/>
  <c r="P124" i="76"/>
  <c r="O125" i="76"/>
  <c r="P125" i="76"/>
  <c r="J121" i="76"/>
  <c r="J122" i="76"/>
  <c r="J123" i="76"/>
  <c r="J124" i="76"/>
  <c r="J125" i="76"/>
  <c r="H121" i="76"/>
  <c r="I121" i="76"/>
  <c r="H122" i="76"/>
  <c r="I122" i="76"/>
  <c r="H123" i="76"/>
  <c r="I123" i="76"/>
  <c r="H124" i="76"/>
  <c r="I124" i="76"/>
  <c r="H125" i="76"/>
  <c r="I125" i="76"/>
  <c r="G121" i="76"/>
  <c r="G122" i="76"/>
  <c r="G123" i="76"/>
  <c r="G124" i="76"/>
  <c r="G125" i="76"/>
  <c r="B121" i="76"/>
  <c r="B122" i="76"/>
  <c r="B123" i="76"/>
  <c r="B124" i="76"/>
  <c r="B125" i="76"/>
  <c r="J120" i="76"/>
  <c r="I120" i="76"/>
  <c r="H120" i="76"/>
  <c r="G120" i="76"/>
  <c r="B120" i="76"/>
  <c r="P120" i="76" l="1"/>
  <c r="Q158" i="76"/>
  <c r="Q142" i="76"/>
  <c r="Q145" i="76"/>
  <c r="Q143" i="76"/>
  <c r="Q336" i="76"/>
  <c r="Q341" i="76"/>
  <c r="Q351" i="76"/>
  <c r="Q337" i="76"/>
  <c r="P268" i="76"/>
  <c r="Q347" i="76"/>
  <c r="Q126" i="76"/>
  <c r="Q129" i="76"/>
  <c r="Q128" i="76"/>
  <c r="Q127" i="76"/>
  <c r="O268" i="76"/>
  <c r="O342" i="76"/>
  <c r="Q343" i="76"/>
  <c r="Q352" i="76"/>
  <c r="Q350" i="76"/>
  <c r="Q348" i="76"/>
  <c r="Q346" i="76"/>
  <c r="Q344" i="76"/>
  <c r="P342" i="76"/>
  <c r="Q342" i="76" s="1"/>
  <c r="O160" i="76"/>
  <c r="O141" i="76"/>
  <c r="P160" i="76"/>
  <c r="Q160" i="76" s="1"/>
  <c r="Q335" i="76"/>
  <c r="Q334" i="76"/>
  <c r="Q333" i="76"/>
  <c r="Q332" i="76"/>
  <c r="Q331" i="76"/>
  <c r="Q330" i="76"/>
  <c r="Q329" i="76"/>
  <c r="Q328" i="76"/>
  <c r="Q327" i="76"/>
  <c r="Q326" i="76"/>
  <c r="Q325" i="76"/>
  <c r="Q324" i="76"/>
  <c r="Q323" i="76"/>
  <c r="Q322" i="76"/>
  <c r="Q321" i="76"/>
  <c r="Q320" i="76"/>
  <c r="Q319" i="76"/>
  <c r="Q318" i="76"/>
  <c r="Q340" i="76"/>
  <c r="Q338" i="76"/>
  <c r="P141" i="76"/>
  <c r="Q146" i="76"/>
  <c r="Q144" i="76"/>
  <c r="P130" i="76"/>
  <c r="O130" i="76"/>
  <c r="Q135" i="76"/>
  <c r="Q134" i="76"/>
  <c r="Q133" i="76"/>
  <c r="Q132" i="76"/>
  <c r="Q155" i="76"/>
  <c r="Q159" i="76"/>
  <c r="Q157" i="76"/>
  <c r="Q131" i="76"/>
  <c r="Q120" i="76"/>
  <c r="Q121" i="76"/>
  <c r="Q122" i="76"/>
  <c r="Q123" i="76"/>
  <c r="Q124" i="76"/>
  <c r="Q125" i="76"/>
  <c r="Q136" i="76"/>
  <c r="Q137" i="76"/>
  <c r="Q138" i="76"/>
  <c r="Q139" i="76"/>
  <c r="Q140" i="76"/>
  <c r="Q141" i="76"/>
  <c r="Q147" i="76"/>
  <c r="Q148" i="76"/>
  <c r="Q149" i="76"/>
  <c r="Q150" i="76"/>
  <c r="Q151" i="76"/>
  <c r="Q152" i="76"/>
  <c r="Q153" i="76"/>
  <c r="Q154" i="76"/>
  <c r="Q161" i="76"/>
  <c r="Q162" i="76"/>
  <c r="Q163" i="76"/>
  <c r="Q164" i="76"/>
  <c r="Q165" i="76"/>
  <c r="Q166" i="76"/>
  <c r="Q167" i="76"/>
  <c r="Q168" i="76"/>
  <c r="Q169" i="76"/>
  <c r="Q170" i="76"/>
  <c r="Q171" i="76"/>
  <c r="Q172" i="76"/>
  <c r="Q173" i="76"/>
  <c r="Q174" i="76"/>
  <c r="Q175" i="76"/>
  <c r="Q176" i="76"/>
  <c r="Q177" i="76"/>
  <c r="Q178" i="76"/>
  <c r="Q179" i="76"/>
  <c r="Q180" i="76"/>
  <c r="Q181" i="76"/>
  <c r="Q182" i="76"/>
  <c r="Q183" i="76"/>
  <c r="Q184" i="76"/>
  <c r="Q185" i="76"/>
  <c r="Q186" i="76"/>
  <c r="Q187" i="76"/>
  <c r="Q188" i="76"/>
  <c r="Q189" i="76"/>
  <c r="Q190" i="76"/>
  <c r="Q191" i="76"/>
  <c r="Q192" i="76"/>
  <c r="Q193" i="76"/>
  <c r="Q194" i="76"/>
  <c r="Q195" i="76"/>
  <c r="Q196" i="76"/>
  <c r="Q197" i="76"/>
  <c r="Q198" i="76"/>
  <c r="Q199" i="76"/>
  <c r="Q200" i="76"/>
  <c r="Q201" i="76"/>
  <c r="Q202" i="76"/>
  <c r="Q203" i="76"/>
  <c r="Q204" i="76"/>
  <c r="Q205" i="76"/>
  <c r="Q206" i="76"/>
  <c r="Q207" i="76"/>
  <c r="Q208" i="76"/>
  <c r="Q209" i="76"/>
  <c r="Q210" i="76"/>
  <c r="Q211" i="76"/>
  <c r="Q212" i="76"/>
  <c r="Q213" i="76"/>
  <c r="Q214" i="76"/>
  <c r="Q215" i="76"/>
  <c r="Q216" i="76"/>
  <c r="Q217" i="76"/>
  <c r="Q218" i="76"/>
  <c r="Q219" i="76"/>
  <c r="Q220" i="76"/>
  <c r="Q221" i="76"/>
  <c r="Q222" i="76"/>
  <c r="Q223" i="76"/>
  <c r="Q224" i="76"/>
  <c r="Q225" i="76"/>
  <c r="Q226" i="76"/>
  <c r="Q227" i="76"/>
  <c r="Q228" i="76"/>
  <c r="Q229" i="76"/>
  <c r="Q230" i="76"/>
  <c r="Q231" i="76"/>
  <c r="Q232" i="76"/>
  <c r="Q233" i="76"/>
  <c r="Q234" i="76"/>
  <c r="Q235" i="76"/>
  <c r="Q236" i="76"/>
  <c r="Q237" i="76"/>
  <c r="Q238" i="76"/>
  <c r="Q239" i="76"/>
  <c r="Q240" i="76"/>
  <c r="Q241" i="76"/>
  <c r="Q242" i="76"/>
  <c r="Q243" i="76"/>
  <c r="Q244" i="76"/>
  <c r="Q245" i="76"/>
  <c r="Q246" i="76"/>
  <c r="Q247" i="76"/>
  <c r="Q248" i="76"/>
  <c r="Q249" i="76"/>
  <c r="Q250" i="76"/>
  <c r="Q251" i="76"/>
  <c r="Q252" i="76"/>
  <c r="Q253" i="76"/>
  <c r="Q254" i="76"/>
  <c r="Q255" i="76"/>
  <c r="Q256" i="76"/>
  <c r="Q257" i="76"/>
  <c r="Q258" i="76"/>
  <c r="Q259" i="76"/>
  <c r="Q260" i="76"/>
  <c r="Q261" i="76"/>
  <c r="Q262" i="76"/>
  <c r="Q263" i="76"/>
  <c r="Q264" i="76"/>
  <c r="Q265" i="76"/>
  <c r="Q266" i="76"/>
  <c r="Q267" i="76"/>
  <c r="Q268" i="76"/>
  <c r="Q269" i="76"/>
  <c r="Q270" i="76"/>
  <c r="Q271" i="76"/>
  <c r="Q272" i="76"/>
  <c r="Q273" i="76"/>
  <c r="Q274" i="76"/>
  <c r="Q275" i="76"/>
  <c r="Q276" i="76"/>
  <c r="Q277" i="76"/>
  <c r="Q278" i="76"/>
  <c r="Q279" i="76"/>
  <c r="Q280" i="76"/>
  <c r="Q281" i="76"/>
  <c r="Q282" i="76"/>
  <c r="Q283" i="76"/>
  <c r="Q284" i="76"/>
  <c r="Q285" i="76"/>
  <c r="Q286" i="76"/>
  <c r="Q287" i="76"/>
  <c r="Q288" i="76"/>
  <c r="Q289" i="76"/>
  <c r="Q290" i="76"/>
  <c r="Q291" i="76"/>
  <c r="Q292" i="76"/>
  <c r="Q293" i="76"/>
  <c r="Q294" i="76"/>
  <c r="Q295" i="76"/>
  <c r="Q296" i="76"/>
  <c r="Q297" i="76"/>
  <c r="Q298" i="76"/>
  <c r="Q299" i="76"/>
  <c r="Q300" i="76"/>
  <c r="Q301" i="76"/>
  <c r="Q302" i="76"/>
  <c r="Q303" i="76"/>
  <c r="Q304" i="76"/>
  <c r="Q305" i="76"/>
  <c r="Q306" i="76"/>
  <c r="Q307" i="76"/>
  <c r="Q308" i="76"/>
  <c r="Q309" i="76"/>
  <c r="Q310" i="76"/>
  <c r="Q311" i="76"/>
  <c r="Q312" i="76"/>
  <c r="Q313" i="76"/>
  <c r="Q314" i="76"/>
  <c r="Q315" i="76"/>
  <c r="Q316" i="76"/>
  <c r="Q317" i="76"/>
  <c r="P23" i="76"/>
  <c r="P24" i="76"/>
  <c r="P25" i="76"/>
  <c r="P26" i="76"/>
  <c r="P27" i="76"/>
  <c r="P28" i="76"/>
  <c r="P29" i="76"/>
  <c r="P30" i="76"/>
  <c r="P31" i="76"/>
  <c r="P32" i="76"/>
  <c r="P33" i="76"/>
  <c r="P34" i="76"/>
  <c r="P35" i="76"/>
  <c r="P36" i="76"/>
  <c r="P37" i="76"/>
  <c r="P38" i="76"/>
  <c r="P39" i="76"/>
  <c r="P40" i="76"/>
  <c r="P41" i="76"/>
  <c r="P42" i="76"/>
  <c r="P43" i="76"/>
  <c r="P44" i="76"/>
  <c r="P45" i="76"/>
  <c r="P46" i="76"/>
  <c r="P47" i="76"/>
  <c r="P48" i="76"/>
  <c r="P49" i="76"/>
  <c r="P50" i="76"/>
  <c r="P51" i="76"/>
  <c r="P52" i="76"/>
  <c r="P53" i="76"/>
  <c r="P54" i="76"/>
  <c r="P55" i="76"/>
  <c r="P56" i="76"/>
  <c r="P57" i="76"/>
  <c r="P58" i="76"/>
  <c r="P59" i="76"/>
  <c r="P60" i="76"/>
  <c r="P61" i="76"/>
  <c r="P62" i="76"/>
  <c r="P63" i="76"/>
  <c r="P64" i="76"/>
  <c r="P65" i="76"/>
  <c r="P66" i="76"/>
  <c r="P67" i="76"/>
  <c r="P68" i="76"/>
  <c r="P69" i="76"/>
  <c r="P70" i="76"/>
  <c r="P71" i="76"/>
  <c r="P72" i="76"/>
  <c r="P73" i="76"/>
  <c r="P74" i="76"/>
  <c r="P75" i="76"/>
  <c r="P76" i="76"/>
  <c r="P77" i="76"/>
  <c r="P78" i="76"/>
  <c r="P79" i="76"/>
  <c r="P80" i="76"/>
  <c r="P81" i="76"/>
  <c r="P82" i="76"/>
  <c r="P83" i="76"/>
  <c r="P85" i="76"/>
  <c r="P86" i="76"/>
  <c r="P87" i="76"/>
  <c r="P88" i="76"/>
  <c r="P89" i="76"/>
  <c r="P90" i="76"/>
  <c r="P94" i="76"/>
  <c r="P100" i="76"/>
  <c r="P101" i="76"/>
  <c r="P102" i="76"/>
  <c r="P103" i="76"/>
  <c r="P104" i="76"/>
  <c r="P105" i="76"/>
  <c r="P106" i="76"/>
  <c r="P107" i="76"/>
  <c r="P108" i="76"/>
  <c r="P109" i="76"/>
  <c r="P110" i="76"/>
  <c r="P111" i="76"/>
  <c r="P112" i="76"/>
  <c r="P113" i="76"/>
  <c r="P114" i="76"/>
  <c r="P115" i="76"/>
  <c r="P116" i="76"/>
  <c r="P117" i="76"/>
  <c r="P118" i="76"/>
  <c r="P119" i="76"/>
  <c r="O32" i="76"/>
  <c r="O33" i="76"/>
  <c r="O34" i="76"/>
  <c r="O35" i="76"/>
  <c r="O36" i="76"/>
  <c r="O37" i="76"/>
  <c r="O38" i="76"/>
  <c r="O39" i="76"/>
  <c r="O40" i="76"/>
  <c r="O41" i="76"/>
  <c r="O42" i="76"/>
  <c r="O43" i="76"/>
  <c r="O44" i="76"/>
  <c r="O45" i="76"/>
  <c r="O46" i="76"/>
  <c r="O47" i="76"/>
  <c r="O48" i="76"/>
  <c r="O49" i="76"/>
  <c r="O50" i="76"/>
  <c r="O51" i="76"/>
  <c r="O52" i="76"/>
  <c r="O53" i="76"/>
  <c r="O54" i="76"/>
  <c r="O55" i="76"/>
  <c r="O56" i="76"/>
  <c r="O57" i="76"/>
  <c r="O58" i="76"/>
  <c r="O59" i="76"/>
  <c r="O60" i="76"/>
  <c r="O61" i="76"/>
  <c r="O62" i="76"/>
  <c r="O63" i="76"/>
  <c r="O64" i="76"/>
  <c r="O65" i="76"/>
  <c r="O66" i="76"/>
  <c r="O67" i="76"/>
  <c r="O68" i="76"/>
  <c r="O69" i="76"/>
  <c r="O70" i="76"/>
  <c r="O71" i="76"/>
  <c r="O72" i="76"/>
  <c r="O73" i="76"/>
  <c r="O74" i="76"/>
  <c r="O75" i="76"/>
  <c r="O76" i="76"/>
  <c r="O77" i="76"/>
  <c r="O78" i="76"/>
  <c r="O79" i="76"/>
  <c r="O80" i="76"/>
  <c r="O81" i="76"/>
  <c r="O82" i="76"/>
  <c r="O83" i="76"/>
  <c r="O84" i="76"/>
  <c r="O85" i="76"/>
  <c r="O86" i="76"/>
  <c r="O87" i="76"/>
  <c r="O88" i="76"/>
  <c r="O89" i="76"/>
  <c r="O90" i="76"/>
  <c r="O91" i="76"/>
  <c r="O92" i="76"/>
  <c r="O93" i="76"/>
  <c r="O94" i="76"/>
  <c r="O95" i="76"/>
  <c r="O96" i="76"/>
  <c r="O97" i="76"/>
  <c r="O98" i="76"/>
  <c r="O99" i="76"/>
  <c r="O100" i="76"/>
  <c r="O101" i="76"/>
  <c r="O102" i="76"/>
  <c r="O103" i="76"/>
  <c r="O104" i="76"/>
  <c r="O105" i="76"/>
  <c r="O106" i="76"/>
  <c r="O107" i="76"/>
  <c r="O108" i="76"/>
  <c r="O109" i="76"/>
  <c r="O110" i="76"/>
  <c r="O111" i="76"/>
  <c r="O112" i="76"/>
  <c r="O113" i="76"/>
  <c r="O114" i="76"/>
  <c r="O115" i="76"/>
  <c r="O116" i="76"/>
  <c r="O117" i="76"/>
  <c r="O118" i="76"/>
  <c r="O119" i="76"/>
  <c r="O28" i="76"/>
  <c r="O29" i="76"/>
  <c r="O30" i="76"/>
  <c r="O31" i="76"/>
  <c r="O22" i="76"/>
  <c r="O23" i="76"/>
  <c r="O24" i="76"/>
  <c r="O25" i="76"/>
  <c r="O26" i="76"/>
  <c r="O27" i="76"/>
  <c r="O21" i="76"/>
  <c r="O20" i="76" s="1"/>
  <c r="O19" i="76" s="1"/>
  <c r="R21" i="76" s="1"/>
  <c r="G22" i="76"/>
  <c r="H22" i="76"/>
  <c r="I22" i="76"/>
  <c r="J22" i="76"/>
  <c r="G23" i="76"/>
  <c r="H23" i="76"/>
  <c r="I23" i="76"/>
  <c r="J23" i="76"/>
  <c r="G24" i="76"/>
  <c r="H24" i="76"/>
  <c r="I24" i="76"/>
  <c r="J24" i="76"/>
  <c r="G25" i="76"/>
  <c r="H25" i="76"/>
  <c r="I25" i="76"/>
  <c r="J25" i="76"/>
  <c r="G26" i="76"/>
  <c r="H26" i="76"/>
  <c r="I26" i="76"/>
  <c r="J26" i="76"/>
  <c r="G27" i="76"/>
  <c r="H27" i="76"/>
  <c r="I27" i="76"/>
  <c r="J27" i="76"/>
  <c r="G28" i="76"/>
  <c r="H28" i="76"/>
  <c r="I28" i="76"/>
  <c r="J28" i="76"/>
  <c r="G29" i="76"/>
  <c r="H29" i="76"/>
  <c r="I29" i="76"/>
  <c r="J29" i="76"/>
  <c r="G30" i="76"/>
  <c r="H30" i="76"/>
  <c r="I30" i="76"/>
  <c r="J30" i="76"/>
  <c r="G31" i="76"/>
  <c r="H31" i="76"/>
  <c r="I31" i="76"/>
  <c r="J31" i="76"/>
  <c r="G32" i="76"/>
  <c r="H32" i="76"/>
  <c r="I32" i="76"/>
  <c r="J32" i="76"/>
  <c r="G33" i="76"/>
  <c r="H33" i="76"/>
  <c r="I33" i="76"/>
  <c r="J33" i="76"/>
  <c r="G34" i="76"/>
  <c r="H34" i="76"/>
  <c r="I34" i="76"/>
  <c r="J34" i="76"/>
  <c r="G35" i="76"/>
  <c r="H35" i="76"/>
  <c r="I35" i="76"/>
  <c r="J35" i="76"/>
  <c r="G36" i="76"/>
  <c r="H36" i="76"/>
  <c r="I36" i="76"/>
  <c r="J36" i="76"/>
  <c r="G37" i="76"/>
  <c r="H37" i="76"/>
  <c r="I37" i="76"/>
  <c r="J37" i="76"/>
  <c r="G38" i="76"/>
  <c r="H38" i="76"/>
  <c r="I38" i="76"/>
  <c r="J38" i="76"/>
  <c r="G39" i="76"/>
  <c r="H39" i="76"/>
  <c r="I39" i="76"/>
  <c r="J39" i="76"/>
  <c r="G40" i="76"/>
  <c r="H40" i="76"/>
  <c r="I40" i="76"/>
  <c r="J40" i="76"/>
  <c r="G41" i="76"/>
  <c r="H41" i="76"/>
  <c r="I41" i="76"/>
  <c r="J41" i="76"/>
  <c r="G42" i="76"/>
  <c r="H42" i="76"/>
  <c r="I42" i="76"/>
  <c r="J42" i="76"/>
  <c r="G43" i="76"/>
  <c r="H43" i="76"/>
  <c r="I43" i="76"/>
  <c r="J43" i="76"/>
  <c r="G44" i="76"/>
  <c r="H44" i="76"/>
  <c r="I44" i="76"/>
  <c r="J44" i="76"/>
  <c r="G45" i="76"/>
  <c r="H45" i="76"/>
  <c r="I45" i="76"/>
  <c r="J45" i="76"/>
  <c r="G46" i="76"/>
  <c r="H46" i="76"/>
  <c r="I46" i="76"/>
  <c r="J46" i="76"/>
  <c r="G47" i="76"/>
  <c r="H47" i="76"/>
  <c r="I47" i="76"/>
  <c r="J47" i="76"/>
  <c r="G48" i="76"/>
  <c r="H48" i="76"/>
  <c r="I48" i="76"/>
  <c r="J48" i="76"/>
  <c r="G49" i="76"/>
  <c r="H49" i="76"/>
  <c r="I49" i="76"/>
  <c r="J49" i="76"/>
  <c r="G50" i="76"/>
  <c r="H50" i="76"/>
  <c r="I50" i="76"/>
  <c r="J50" i="76"/>
  <c r="G51" i="76"/>
  <c r="H51" i="76"/>
  <c r="I51" i="76"/>
  <c r="J51" i="76"/>
  <c r="G52" i="76"/>
  <c r="H52" i="76"/>
  <c r="I52" i="76"/>
  <c r="J52" i="76"/>
  <c r="G53" i="76"/>
  <c r="H53" i="76"/>
  <c r="I53" i="76"/>
  <c r="J53" i="76"/>
  <c r="G54" i="76"/>
  <c r="H54" i="76"/>
  <c r="I54" i="76"/>
  <c r="J54" i="76"/>
  <c r="G55" i="76"/>
  <c r="H55" i="76"/>
  <c r="I55" i="76"/>
  <c r="J55" i="76"/>
  <c r="G56" i="76"/>
  <c r="H56" i="76"/>
  <c r="I56" i="76"/>
  <c r="J56" i="76"/>
  <c r="G57" i="76"/>
  <c r="H57" i="76"/>
  <c r="I57" i="76"/>
  <c r="J57" i="76"/>
  <c r="G58" i="76"/>
  <c r="H58" i="76"/>
  <c r="I58" i="76"/>
  <c r="J58" i="76"/>
  <c r="G59" i="76"/>
  <c r="H59" i="76"/>
  <c r="I59" i="76"/>
  <c r="J59" i="76"/>
  <c r="G60" i="76"/>
  <c r="H60" i="76"/>
  <c r="I60" i="76"/>
  <c r="J60" i="76"/>
  <c r="G61" i="76"/>
  <c r="H61" i="76"/>
  <c r="I61" i="76"/>
  <c r="J61" i="76"/>
  <c r="G62" i="76"/>
  <c r="H62" i="76"/>
  <c r="I62" i="76"/>
  <c r="J62" i="76"/>
  <c r="G63" i="76"/>
  <c r="H63" i="76"/>
  <c r="I63" i="76"/>
  <c r="J63" i="76"/>
  <c r="G64" i="76"/>
  <c r="H64" i="76"/>
  <c r="I64" i="76"/>
  <c r="J64" i="76"/>
  <c r="G65" i="76"/>
  <c r="H65" i="76"/>
  <c r="I65" i="76"/>
  <c r="J65" i="76"/>
  <c r="G66" i="76"/>
  <c r="H66" i="76"/>
  <c r="I66" i="76"/>
  <c r="J66" i="76"/>
  <c r="G67" i="76"/>
  <c r="H67" i="76"/>
  <c r="I67" i="76"/>
  <c r="J67" i="76"/>
  <c r="G68" i="76"/>
  <c r="H68" i="76"/>
  <c r="I68" i="76"/>
  <c r="J68" i="76"/>
  <c r="G69" i="76"/>
  <c r="H69" i="76"/>
  <c r="I69" i="76"/>
  <c r="J69" i="76"/>
  <c r="G70" i="76"/>
  <c r="H70" i="76"/>
  <c r="I70" i="76"/>
  <c r="J70" i="76"/>
  <c r="G71" i="76"/>
  <c r="H71" i="76"/>
  <c r="I71" i="76"/>
  <c r="J71" i="76"/>
  <c r="G72" i="76"/>
  <c r="H72" i="76"/>
  <c r="I72" i="76"/>
  <c r="J72" i="76"/>
  <c r="G73" i="76"/>
  <c r="H73" i="76"/>
  <c r="I73" i="76"/>
  <c r="J73" i="76"/>
  <c r="G74" i="76"/>
  <c r="H74" i="76"/>
  <c r="I74" i="76"/>
  <c r="J74" i="76"/>
  <c r="G75" i="76"/>
  <c r="H75" i="76"/>
  <c r="I75" i="76"/>
  <c r="J75" i="76"/>
  <c r="G76" i="76"/>
  <c r="H76" i="76"/>
  <c r="I76" i="76"/>
  <c r="J76" i="76"/>
  <c r="G77" i="76"/>
  <c r="H77" i="76"/>
  <c r="I77" i="76"/>
  <c r="J77" i="76"/>
  <c r="G78" i="76"/>
  <c r="H78" i="76"/>
  <c r="I78" i="76"/>
  <c r="J78" i="76"/>
  <c r="G79" i="76"/>
  <c r="H79" i="76"/>
  <c r="I79" i="76"/>
  <c r="J79" i="76"/>
  <c r="G80" i="76"/>
  <c r="H80" i="76"/>
  <c r="I80" i="76"/>
  <c r="J80" i="76"/>
  <c r="G81" i="76"/>
  <c r="H81" i="76"/>
  <c r="I81" i="76"/>
  <c r="J81" i="76"/>
  <c r="G82" i="76"/>
  <c r="H82" i="76"/>
  <c r="I82" i="76"/>
  <c r="J82" i="76"/>
  <c r="G83" i="76"/>
  <c r="H83" i="76"/>
  <c r="I83" i="76"/>
  <c r="J83" i="76"/>
  <c r="G84" i="76"/>
  <c r="H84" i="76"/>
  <c r="I84" i="76"/>
  <c r="J84" i="76"/>
  <c r="G85" i="76"/>
  <c r="H85" i="76"/>
  <c r="I85" i="76"/>
  <c r="J85" i="76"/>
  <c r="G86" i="76"/>
  <c r="H86" i="76"/>
  <c r="I86" i="76"/>
  <c r="J86" i="76"/>
  <c r="G87" i="76"/>
  <c r="H87" i="76"/>
  <c r="I87" i="76"/>
  <c r="J87" i="76"/>
  <c r="G88" i="76"/>
  <c r="H88" i="76"/>
  <c r="I88" i="76"/>
  <c r="J88" i="76"/>
  <c r="G89" i="76"/>
  <c r="H89" i="76"/>
  <c r="I89" i="76"/>
  <c r="J89" i="76"/>
  <c r="G90" i="76"/>
  <c r="H90" i="76"/>
  <c r="I90" i="76"/>
  <c r="J90" i="76"/>
  <c r="G91" i="76"/>
  <c r="H91" i="76"/>
  <c r="I91" i="76"/>
  <c r="J91" i="76"/>
  <c r="G92" i="76"/>
  <c r="H92" i="76"/>
  <c r="I92" i="76"/>
  <c r="J92" i="76"/>
  <c r="G93" i="76"/>
  <c r="H93" i="76"/>
  <c r="I93" i="76"/>
  <c r="J93" i="76"/>
  <c r="G94" i="76"/>
  <c r="H94" i="76"/>
  <c r="I94" i="76"/>
  <c r="J94" i="76"/>
  <c r="G95" i="76"/>
  <c r="H95" i="76"/>
  <c r="I95" i="76"/>
  <c r="J95" i="76"/>
  <c r="G96" i="76"/>
  <c r="H96" i="76"/>
  <c r="I96" i="76"/>
  <c r="J96" i="76"/>
  <c r="G97" i="76"/>
  <c r="H97" i="76"/>
  <c r="I97" i="76"/>
  <c r="J97" i="76"/>
  <c r="G98" i="76"/>
  <c r="H98" i="76"/>
  <c r="I98" i="76"/>
  <c r="J98" i="76"/>
  <c r="G99" i="76"/>
  <c r="H99" i="76"/>
  <c r="I99" i="76"/>
  <c r="J99" i="76"/>
  <c r="G100" i="76"/>
  <c r="H100" i="76"/>
  <c r="I100" i="76"/>
  <c r="J100" i="76"/>
  <c r="G101" i="76"/>
  <c r="H101" i="76"/>
  <c r="I101" i="76"/>
  <c r="J101" i="76"/>
  <c r="G102" i="76"/>
  <c r="H102" i="76"/>
  <c r="I102" i="76"/>
  <c r="J102" i="76"/>
  <c r="G103" i="76"/>
  <c r="H103" i="76"/>
  <c r="I103" i="76"/>
  <c r="J103" i="76"/>
  <c r="G104" i="76"/>
  <c r="H104" i="76"/>
  <c r="I104" i="76"/>
  <c r="J104" i="76"/>
  <c r="G105" i="76"/>
  <c r="H105" i="76"/>
  <c r="I105" i="76"/>
  <c r="J105" i="76"/>
  <c r="G106" i="76"/>
  <c r="H106" i="76"/>
  <c r="I106" i="76"/>
  <c r="J106" i="76"/>
  <c r="G107" i="76"/>
  <c r="H107" i="76"/>
  <c r="I107" i="76"/>
  <c r="J107" i="76"/>
  <c r="G108" i="76"/>
  <c r="H108" i="76"/>
  <c r="I108" i="76"/>
  <c r="J108" i="76"/>
  <c r="G109" i="76"/>
  <c r="H109" i="76"/>
  <c r="I109" i="76"/>
  <c r="J109" i="76"/>
  <c r="G110" i="76"/>
  <c r="H110" i="76"/>
  <c r="I110" i="76"/>
  <c r="J110" i="76"/>
  <c r="G111" i="76"/>
  <c r="H111" i="76"/>
  <c r="I111" i="76"/>
  <c r="J111" i="76"/>
  <c r="G112" i="76"/>
  <c r="H112" i="76"/>
  <c r="I112" i="76"/>
  <c r="J112" i="76"/>
  <c r="G113" i="76"/>
  <c r="H113" i="76"/>
  <c r="I113" i="76"/>
  <c r="J113" i="76"/>
  <c r="G114" i="76"/>
  <c r="H114" i="76"/>
  <c r="I114" i="76"/>
  <c r="J114" i="76"/>
  <c r="G115" i="76"/>
  <c r="H115" i="76"/>
  <c r="I115" i="76"/>
  <c r="J115" i="76"/>
  <c r="G116" i="76"/>
  <c r="H116" i="76"/>
  <c r="I116" i="76"/>
  <c r="J116" i="76"/>
  <c r="G117" i="76"/>
  <c r="H117" i="76"/>
  <c r="I117" i="76"/>
  <c r="J117" i="76"/>
  <c r="G118" i="76"/>
  <c r="H118" i="76"/>
  <c r="I118" i="76"/>
  <c r="J118" i="76"/>
  <c r="G119" i="76"/>
  <c r="H119" i="76"/>
  <c r="I119" i="76"/>
  <c r="J119" i="76"/>
  <c r="J21" i="76"/>
  <c r="I21" i="76"/>
  <c r="H21" i="76"/>
  <c r="G21" i="76"/>
  <c r="B22" i="76"/>
  <c r="B23" i="76"/>
  <c r="B24" i="76"/>
  <c r="B25" i="76"/>
  <c r="B26" i="76"/>
  <c r="B27" i="76"/>
  <c r="B28" i="76"/>
  <c r="B29" i="76"/>
  <c r="B30" i="76"/>
  <c r="B31" i="76"/>
  <c r="B32" i="76"/>
  <c r="B33" i="76"/>
  <c r="B34" i="76"/>
  <c r="B35" i="76"/>
  <c r="B36" i="76"/>
  <c r="B37" i="76"/>
  <c r="B38" i="76"/>
  <c r="B39" i="76"/>
  <c r="B40" i="76"/>
  <c r="B41" i="76"/>
  <c r="B42" i="76"/>
  <c r="B43" i="76"/>
  <c r="B44" i="76"/>
  <c r="B45" i="76"/>
  <c r="B46" i="76"/>
  <c r="B47" i="76"/>
  <c r="B48" i="76"/>
  <c r="B49" i="76"/>
  <c r="B50" i="76"/>
  <c r="B51" i="76"/>
  <c r="B52" i="76"/>
  <c r="B53" i="76"/>
  <c r="B54" i="76"/>
  <c r="B55" i="76"/>
  <c r="B56" i="76"/>
  <c r="B57" i="76"/>
  <c r="B58" i="76"/>
  <c r="B59" i="76"/>
  <c r="B60" i="76"/>
  <c r="B61" i="76"/>
  <c r="B62" i="76"/>
  <c r="B63" i="76"/>
  <c r="B64" i="76"/>
  <c r="B65" i="76"/>
  <c r="B66" i="76"/>
  <c r="B67" i="76"/>
  <c r="B68" i="76"/>
  <c r="B69" i="76"/>
  <c r="B70" i="76"/>
  <c r="B71" i="76"/>
  <c r="B72" i="76"/>
  <c r="B73" i="76"/>
  <c r="B74" i="76"/>
  <c r="B75" i="76"/>
  <c r="B76" i="76"/>
  <c r="B77" i="76"/>
  <c r="B78" i="76"/>
  <c r="B79" i="76"/>
  <c r="B80" i="76"/>
  <c r="B81" i="76"/>
  <c r="B82" i="76"/>
  <c r="B83" i="76"/>
  <c r="B84" i="76"/>
  <c r="B85" i="76"/>
  <c r="B86" i="76"/>
  <c r="B87" i="76"/>
  <c r="B88" i="76"/>
  <c r="B89" i="76"/>
  <c r="B90" i="76"/>
  <c r="B91" i="76"/>
  <c r="B92" i="76"/>
  <c r="B93" i="76"/>
  <c r="B94" i="76"/>
  <c r="B95" i="76"/>
  <c r="B96" i="76"/>
  <c r="B97" i="76"/>
  <c r="B98" i="76"/>
  <c r="B99" i="76"/>
  <c r="B100" i="76"/>
  <c r="B101" i="76"/>
  <c r="B102" i="76"/>
  <c r="B103" i="76"/>
  <c r="B104" i="76"/>
  <c r="B105" i="76"/>
  <c r="B106" i="76"/>
  <c r="B107" i="76"/>
  <c r="B108" i="76"/>
  <c r="B109" i="76"/>
  <c r="B110" i="76"/>
  <c r="B111" i="76"/>
  <c r="B112" i="76"/>
  <c r="B113" i="76"/>
  <c r="B114" i="76"/>
  <c r="B115" i="76"/>
  <c r="B116" i="76"/>
  <c r="B117" i="76"/>
  <c r="B118" i="76"/>
  <c r="B119" i="76"/>
  <c r="Q130" i="76" l="1"/>
  <c r="Q118" i="76"/>
  <c r="Q116" i="76"/>
  <c r="Q114" i="76"/>
  <c r="Q112" i="76"/>
  <c r="Q110" i="76"/>
  <c r="Q108" i="76"/>
  <c r="Q106" i="76"/>
  <c r="Q104" i="76"/>
  <c r="Q102" i="76"/>
  <c r="Q100" i="76"/>
  <c r="Q94" i="76"/>
  <c r="Q82" i="76"/>
  <c r="Q80" i="76"/>
  <c r="Q78" i="76"/>
  <c r="Q76" i="76"/>
  <c r="Q74" i="76"/>
  <c r="Q72" i="76"/>
  <c r="Q70" i="76"/>
  <c r="Q68" i="76"/>
  <c r="Q66" i="76"/>
  <c r="Q64" i="76"/>
  <c r="Q62" i="76"/>
  <c r="Q60" i="76"/>
  <c r="Q58" i="76"/>
  <c r="Q56" i="76"/>
  <c r="Q54" i="76"/>
  <c r="Q52" i="76"/>
  <c r="Q50" i="76"/>
  <c r="Q48" i="76"/>
  <c r="Q46" i="76"/>
  <c r="Q44" i="76"/>
  <c r="Q42" i="76"/>
  <c r="Q40" i="76"/>
  <c r="Q38" i="76"/>
  <c r="Q36" i="76"/>
  <c r="Q34" i="76"/>
  <c r="Q32" i="76"/>
  <c r="Q30" i="76"/>
  <c r="Q28" i="76"/>
  <c r="Q26" i="76"/>
  <c r="Q24" i="76"/>
  <c r="Q119" i="76"/>
  <c r="Q117" i="76"/>
  <c r="Q115" i="76"/>
  <c r="Q113" i="76"/>
  <c r="Q111" i="76"/>
  <c r="Q109" i="76"/>
  <c r="Q107" i="76"/>
  <c r="Q105" i="76"/>
  <c r="Q103" i="76"/>
  <c r="Q101" i="76"/>
  <c r="Q83" i="76"/>
  <c r="Q81" i="76"/>
  <c r="Q79" i="76"/>
  <c r="Q77" i="76"/>
  <c r="Q75" i="76"/>
  <c r="Q73" i="76"/>
  <c r="Q71" i="76"/>
  <c r="Q69" i="76"/>
  <c r="Q67" i="76"/>
  <c r="Q65" i="76"/>
  <c r="Q63" i="76"/>
  <c r="Q61" i="76"/>
  <c r="Q59" i="76"/>
  <c r="Q57" i="76"/>
  <c r="Q55" i="76"/>
  <c r="Q53" i="76"/>
  <c r="Q51" i="76"/>
  <c r="Q49" i="76"/>
  <c r="Q47" i="76"/>
  <c r="Q45" i="76"/>
  <c r="Q43" i="76"/>
  <c r="Q41" i="76"/>
  <c r="Q39" i="76"/>
  <c r="Q37" i="76"/>
  <c r="Q35" i="76"/>
  <c r="Q33" i="76"/>
  <c r="Q31" i="76"/>
  <c r="Q29" i="76"/>
  <c r="Q27" i="76"/>
  <c r="Q25" i="76"/>
  <c r="Q23" i="76"/>
  <c r="D45" i="77"/>
  <c r="D43" i="77"/>
  <c r="D36" i="77"/>
  <c r="D27" i="77"/>
  <c r="D14" i="77"/>
  <c r="C96" i="77"/>
  <c r="E94" i="77"/>
  <c r="E93" i="77"/>
  <c r="D92" i="77"/>
  <c r="C92" i="77"/>
  <c r="I91" i="77"/>
  <c r="H91" i="77"/>
  <c r="G91" i="77"/>
  <c r="F91" i="77"/>
  <c r="K91" i="77" s="1"/>
  <c r="K93" i="77" s="1"/>
  <c r="E91" i="77"/>
  <c r="E90" i="77"/>
  <c r="E89" i="77"/>
  <c r="E88" i="77"/>
  <c r="E87" i="77"/>
  <c r="E86" i="77"/>
  <c r="D86" i="77"/>
  <c r="E85" i="77"/>
  <c r="E84" i="77"/>
  <c r="E83" i="77"/>
  <c r="E82" i="77"/>
  <c r="E81" i="77"/>
  <c r="E80" i="77"/>
  <c r="E79" i="77"/>
  <c r="E78" i="77"/>
  <c r="E77" i="77"/>
  <c r="E76" i="77"/>
  <c r="E75" i="77"/>
  <c r="E74" i="77"/>
  <c r="E73" i="77"/>
  <c r="E72" i="77"/>
  <c r="E71" i="77"/>
  <c r="F70" i="77"/>
  <c r="F72" i="77" s="1"/>
  <c r="E70" i="77"/>
  <c r="E69" i="77"/>
  <c r="D68" i="77"/>
  <c r="E68" i="77" s="1"/>
  <c r="C68" i="77"/>
  <c r="E67" i="77"/>
  <c r="E66" i="77"/>
  <c r="E65" i="77"/>
  <c r="E64" i="77"/>
  <c r="E63" i="77"/>
  <c r="E62" i="77"/>
  <c r="E61" i="77"/>
  <c r="E60" i="77"/>
  <c r="E59" i="77"/>
  <c r="E58" i="77"/>
  <c r="E57" i="77"/>
  <c r="E56" i="77"/>
  <c r="E55" i="77"/>
  <c r="E54" i="77"/>
  <c r="E53" i="77"/>
  <c r="E52" i="77"/>
  <c r="D51" i="77"/>
  <c r="C51" i="77"/>
  <c r="E50" i="77"/>
  <c r="E49" i="77"/>
  <c r="F49" i="77" s="1"/>
  <c r="D48" i="77"/>
  <c r="C48" i="77"/>
  <c r="C47" i="77" s="1"/>
  <c r="C46" i="77" s="1"/>
  <c r="E48" i="77" l="1"/>
  <c r="F48" i="77" s="1"/>
  <c r="E51" i="77"/>
  <c r="E92" i="77"/>
  <c r="D47" i="77"/>
  <c r="E45" i="77"/>
  <c r="D44" i="77"/>
  <c r="C44" i="77"/>
  <c r="E43" i="77"/>
  <c r="E42" i="77"/>
  <c r="D41" i="77"/>
  <c r="C41" i="77"/>
  <c r="E40" i="77"/>
  <c r="E39" i="77"/>
  <c r="C38" i="77"/>
  <c r="E37" i="77"/>
  <c r="E36" i="77"/>
  <c r="D35" i="77"/>
  <c r="C35" i="77"/>
  <c r="E34" i="77"/>
  <c r="E33" i="77"/>
  <c r="D32" i="77"/>
  <c r="C32" i="77"/>
  <c r="E31" i="77"/>
  <c r="E30" i="77"/>
  <c r="E29" i="77"/>
  <c r="D28" i="77"/>
  <c r="C28" i="77"/>
  <c r="E27" i="77"/>
  <c r="E26" i="77"/>
  <c r="E25" i="77"/>
  <c r="C24" i="77"/>
  <c r="E23" i="77"/>
  <c r="E22" i="77"/>
  <c r="E21" i="77"/>
  <c r="D20" i="77"/>
  <c r="C20" i="77"/>
  <c r="E19" i="77"/>
  <c r="C18" i="77"/>
  <c r="E18" i="77" s="1"/>
  <c r="E17" i="77"/>
  <c r="E16" i="77"/>
  <c r="D15" i="77"/>
  <c r="C15" i="77"/>
  <c r="E14" i="77"/>
  <c r="E20" i="77" l="1"/>
  <c r="D24" i="77"/>
  <c r="E24" i="77" s="1"/>
  <c r="E28" i="77"/>
  <c r="E35" i="77"/>
  <c r="E41" i="77"/>
  <c r="E44" i="77"/>
  <c r="E47" i="77"/>
  <c r="D46" i="77"/>
  <c r="E32" i="77"/>
  <c r="C13" i="77"/>
  <c r="E15" i="77"/>
  <c r="D38" i="77"/>
  <c r="E46" i="77" l="1"/>
  <c r="E38" i="77"/>
  <c r="D13" i="77"/>
  <c r="D96" i="77" s="1"/>
  <c r="E96" i="77" s="1"/>
  <c r="E13" i="77" l="1"/>
  <c r="F21" i="75" l="1"/>
  <c r="F19" i="75"/>
  <c r="F15" i="75"/>
  <c r="H15" i="75" s="1"/>
  <c r="F22" i="75" l="1"/>
  <c r="V539" i="69" l="1"/>
  <c r="W539" i="69" s="1"/>
  <c r="Q536" i="69"/>
  <c r="R536" i="69"/>
  <c r="Q537" i="69"/>
  <c r="R537" i="69"/>
  <c r="Q538" i="69"/>
  <c r="R538" i="69"/>
  <c r="Q539" i="69"/>
  <c r="R539" i="69"/>
  <c r="S539" i="69"/>
  <c r="T539" i="69"/>
  <c r="M537" i="69"/>
  <c r="N537" i="69"/>
  <c r="O537" i="69"/>
  <c r="P537" i="69"/>
  <c r="M538" i="69"/>
  <c r="N538" i="69"/>
  <c r="O538" i="69"/>
  <c r="P538" i="69"/>
  <c r="M539" i="69"/>
  <c r="N539" i="69"/>
  <c r="O539" i="69"/>
  <c r="P539" i="69"/>
  <c r="N536" i="69"/>
  <c r="O536" i="69"/>
  <c r="P536" i="69"/>
  <c r="M536" i="69"/>
  <c r="B537" i="69"/>
  <c r="B538" i="69"/>
  <c r="B539" i="69"/>
  <c r="B536" i="69"/>
  <c r="V623" i="69"/>
  <c r="V620" i="69"/>
  <c r="V609" i="69"/>
  <c r="V602" i="69"/>
  <c r="V595" i="69"/>
  <c r="V589" i="69"/>
  <c r="V581" i="69"/>
  <c r="V580" i="69"/>
  <c r="V574" i="69"/>
  <c r="V573" i="69"/>
  <c r="V570" i="69"/>
  <c r="V569" i="69"/>
  <c r="V562" i="69"/>
  <c r="V556" i="69"/>
  <c r="V550" i="69"/>
  <c r="V517" i="69"/>
  <c r="V511" i="69"/>
  <c r="V508" i="69"/>
  <c r="V502" i="69"/>
  <c r="V499" i="69"/>
  <c r="V493" i="69"/>
  <c r="V490" i="69"/>
  <c r="V484" i="69"/>
  <c r="V478" i="69"/>
  <c r="V466" i="69"/>
  <c r="V463" i="69"/>
  <c r="V449" i="69"/>
  <c r="V442" i="69"/>
  <c r="V441" i="69"/>
  <c r="V438" i="69"/>
  <c r="V437" i="69"/>
  <c r="V428" i="69"/>
  <c r="V427" i="69"/>
  <c r="V406" i="69"/>
  <c r="V405" i="69"/>
  <c r="V402" i="69"/>
  <c r="V401" i="69"/>
  <c r="V398" i="69"/>
  <c r="V397" i="69"/>
  <c r="V384" i="69"/>
  <c r="V372" i="69"/>
  <c r="V364" i="69"/>
  <c r="V363" i="69"/>
  <c r="V359" i="69"/>
  <c r="V360" i="69"/>
  <c r="V358" i="69"/>
  <c r="V352" i="69"/>
  <c r="V353" i="69"/>
  <c r="V351" i="69"/>
  <c r="V348" i="69"/>
  <c r="V347" i="69"/>
  <c r="V344" i="69"/>
  <c r="V343" i="69"/>
  <c r="V337" i="69"/>
  <c r="V336" i="69"/>
  <c r="V322" i="69"/>
  <c r="V309" i="69"/>
  <c r="V303" i="69"/>
  <c r="V296" i="69"/>
  <c r="V290" i="69"/>
  <c r="V282" i="69"/>
  <c r="V274" i="69" l="1"/>
  <c r="V273" i="69"/>
  <c r="W273" i="69" s="1"/>
  <c r="V262" i="69"/>
  <c r="V261" i="69" s="1"/>
  <c r="V260" i="69" s="1"/>
  <c r="V244" i="69"/>
  <c r="W244" i="69" s="1"/>
  <c r="V243" i="69"/>
  <c r="V240" i="69"/>
  <c r="W240" i="69" s="1"/>
  <c r="V239" i="69"/>
  <c r="W239" i="69" s="1"/>
  <c r="V235" i="69"/>
  <c r="W235" i="69" s="1"/>
  <c r="V234" i="69"/>
  <c r="V226" i="69"/>
  <c r="W226" i="69" s="1"/>
  <c r="V211" i="69"/>
  <c r="V210" i="69" s="1"/>
  <c r="V209" i="69" s="1"/>
  <c r="V207" i="69"/>
  <c r="V206" i="69"/>
  <c r="W206" i="69" s="1"/>
  <c r="V199" i="69"/>
  <c r="V198" i="69" s="1"/>
  <c r="W198" i="69" s="1"/>
  <c r="V194" i="69"/>
  <c r="W194" i="69" s="1"/>
  <c r="V193" i="69"/>
  <c r="W193" i="69" s="1"/>
  <c r="V186" i="69"/>
  <c r="V185" i="69"/>
  <c r="W185" i="69" s="1"/>
  <c r="V182" i="69"/>
  <c r="V181" i="69"/>
  <c r="W181" i="69" s="1"/>
  <c r="V170" i="69"/>
  <c r="V169" i="69" s="1"/>
  <c r="V168" i="69" s="1"/>
  <c r="V166" i="69"/>
  <c r="V165" i="69"/>
  <c r="W165" i="69" s="1"/>
  <c r="V160" i="69"/>
  <c r="W160" i="69" s="1"/>
  <c r="V159" i="69"/>
  <c r="V154" i="69"/>
  <c r="V153" i="69" s="1"/>
  <c r="V152" i="69" s="1"/>
  <c r="V151" i="69" s="1"/>
  <c r="V149" i="69"/>
  <c r="V148" i="69" s="1"/>
  <c r="V147" i="69" s="1"/>
  <c r="V145" i="69"/>
  <c r="V144" i="69" s="1"/>
  <c r="V139" i="69"/>
  <c r="V138" i="69" s="1"/>
  <c r="V137" i="69" s="1"/>
  <c r="V122" i="69"/>
  <c r="W122" i="69" s="1"/>
  <c r="V121" i="69"/>
  <c r="W121" i="69" s="1"/>
  <c r="V117" i="69"/>
  <c r="V116" i="69"/>
  <c r="W116" i="69" s="1"/>
  <c r="V112" i="69"/>
  <c r="V111" i="69"/>
  <c r="W111" i="69" s="1"/>
  <c r="V106" i="69"/>
  <c r="V105" i="69" s="1"/>
  <c r="V104" i="69" s="1"/>
  <c r="V101" i="69"/>
  <c r="W101" i="69" s="1"/>
  <c r="V102" i="69"/>
  <c r="V100" i="69"/>
  <c r="W100" i="69" s="1"/>
  <c r="V97" i="69"/>
  <c r="V96" i="69"/>
  <c r="W96" i="69" s="1"/>
  <c r="V92" i="69"/>
  <c r="W92" i="69" s="1"/>
  <c r="V91" i="69"/>
  <c r="W91" i="69" s="1"/>
  <c r="V74" i="69"/>
  <c r="W74" i="69" s="1"/>
  <c r="V75" i="69"/>
  <c r="W75" i="69" s="1"/>
  <c r="V73" i="69"/>
  <c r="V70" i="69"/>
  <c r="W70" i="69" s="1"/>
  <c r="V69" i="69"/>
  <c r="W69" i="69" s="1"/>
  <c r="V65" i="69"/>
  <c r="W65" i="69" s="1"/>
  <c r="V64" i="69"/>
  <c r="V58" i="69"/>
  <c r="V57" i="69" s="1"/>
  <c r="V52" i="69"/>
  <c r="W52" i="69" s="1"/>
  <c r="V53" i="69"/>
  <c r="W53" i="69" s="1"/>
  <c r="V51" i="69"/>
  <c r="W51" i="69" s="1"/>
  <c r="V48" i="69"/>
  <c r="W48" i="69" s="1"/>
  <c r="V47" i="69"/>
  <c r="V43" i="69"/>
  <c r="W43" i="69" s="1"/>
  <c r="V42" i="69"/>
  <c r="W42" i="69" s="1"/>
  <c r="V38" i="69"/>
  <c r="W38" i="69" s="1"/>
  <c r="V37" i="69"/>
  <c r="W37" i="69" s="1"/>
  <c r="V33" i="69"/>
  <c r="W33" i="69" s="1"/>
  <c r="V32" i="69"/>
  <c r="W32" i="69" s="1"/>
  <c r="V26" i="69"/>
  <c r="W26" i="69" s="1"/>
  <c r="V25" i="69"/>
  <c r="W25" i="69" s="1"/>
  <c r="V622" i="69"/>
  <c r="V621" i="69" s="1"/>
  <c r="W621" i="69" s="1"/>
  <c r="V619" i="69"/>
  <c r="V618" i="69" s="1"/>
  <c r="V614" i="69"/>
  <c r="V613" i="69"/>
  <c r="V612" i="69" s="1"/>
  <c r="V608" i="69"/>
  <c r="V607" i="69" s="1"/>
  <c r="V601" i="69"/>
  <c r="V600" i="69" s="1"/>
  <c r="V594" i="69"/>
  <c r="V593" i="69" s="1"/>
  <c r="V592" i="69" s="1"/>
  <c r="V588" i="69"/>
  <c r="V587" i="69" s="1"/>
  <c r="V579" i="69"/>
  <c r="V578" i="69" s="1"/>
  <c r="V572" i="69"/>
  <c r="V571" i="69" s="1"/>
  <c r="W571" i="69" s="1"/>
  <c r="V568" i="69"/>
  <c r="V567" i="69" s="1"/>
  <c r="V561" i="69"/>
  <c r="V560" i="69" s="1"/>
  <c r="V555" i="69"/>
  <c r="V554" i="69" s="1"/>
  <c r="V549" i="69"/>
  <c r="V548" i="69" s="1"/>
  <c r="V546" i="69"/>
  <c r="V545" i="69" s="1"/>
  <c r="V544" i="69" s="1"/>
  <c r="V543" i="69" s="1"/>
  <c r="U546" i="69"/>
  <c r="P543" i="69"/>
  <c r="P544" i="69"/>
  <c r="P545" i="69"/>
  <c r="P546" i="69"/>
  <c r="O543" i="69"/>
  <c r="O544" i="69"/>
  <c r="O545" i="69"/>
  <c r="O546" i="69"/>
  <c r="N543" i="69"/>
  <c r="N544" i="69"/>
  <c r="N545" i="69"/>
  <c r="N546" i="69"/>
  <c r="M544" i="69"/>
  <c r="M545" i="69"/>
  <c r="M546" i="69"/>
  <c r="M543" i="69"/>
  <c r="B544" i="69"/>
  <c r="B545" i="69"/>
  <c r="B546" i="69"/>
  <c r="B543" i="69"/>
  <c r="V534" i="69"/>
  <c r="V533" i="69"/>
  <c r="V532" i="69" s="1"/>
  <c r="V528" i="69"/>
  <c r="V527" i="69" s="1"/>
  <c r="V526" i="69" s="1"/>
  <c r="V522" i="69"/>
  <c r="V521" i="69" s="1"/>
  <c r="V516" i="69"/>
  <c r="V515" i="69" s="1"/>
  <c r="V510" i="69"/>
  <c r="V509" i="69" s="1"/>
  <c r="W509" i="69" s="1"/>
  <c r="V507" i="69"/>
  <c r="V506" i="69" s="1"/>
  <c r="V501" i="69"/>
  <c r="V500" i="69" s="1"/>
  <c r="W500" i="69" s="1"/>
  <c r="V498" i="69"/>
  <c r="V497" i="69" s="1"/>
  <c r="V492" i="69"/>
  <c r="V491" i="69" s="1"/>
  <c r="W491" i="69" s="1"/>
  <c r="V489" i="69"/>
  <c r="V488" i="69" s="1"/>
  <c r="V483" i="69"/>
  <c r="V482" i="69" s="1"/>
  <c r="V477" i="69"/>
  <c r="V476" i="69" s="1"/>
  <c r="V475" i="69" s="1"/>
  <c r="V471" i="69"/>
  <c r="V470" i="69"/>
  <c r="V469" i="69" s="1"/>
  <c r="V465" i="69"/>
  <c r="V464" i="69" s="1"/>
  <c r="W464" i="69" s="1"/>
  <c r="V462" i="69"/>
  <c r="V461" i="69" s="1"/>
  <c r="V456" i="69"/>
  <c r="V455" i="69" s="1"/>
  <c r="V448" i="69"/>
  <c r="V447" i="69" s="1"/>
  <c r="V446" i="69" s="1"/>
  <c r="V440" i="69"/>
  <c r="V439" i="69" s="1"/>
  <c r="W439" i="69" s="1"/>
  <c r="V436" i="69"/>
  <c r="V435" i="69" s="1"/>
  <c r="V430" i="69"/>
  <c r="V429" i="69"/>
  <c r="V426" i="69"/>
  <c r="V425" i="69" s="1"/>
  <c r="V419" i="69"/>
  <c r="V418" i="69" s="1"/>
  <c r="W418" i="69" s="1"/>
  <c r="V416" i="69"/>
  <c r="V415" i="69" s="1"/>
  <c r="V410" i="69"/>
  <c r="W410" i="69" s="1"/>
  <c r="V411" i="69"/>
  <c r="V409" i="69"/>
  <c r="V408" i="69" s="1"/>
  <c r="V404" i="69"/>
  <c r="V403" i="69" s="1"/>
  <c r="W403" i="69" s="1"/>
  <c r="V400" i="69"/>
  <c r="V399" i="69" s="1"/>
  <c r="W399" i="69" s="1"/>
  <c r="V396" i="69"/>
  <c r="V395" i="69" s="1"/>
  <c r="V389" i="69"/>
  <c r="V388" i="69" s="1"/>
  <c r="V383" i="69"/>
  <c r="V382" i="69" s="1"/>
  <c r="V377" i="69"/>
  <c r="V376" i="69" s="1"/>
  <c r="V371" i="69"/>
  <c r="V370" i="69" s="1"/>
  <c r="V369" i="69" s="1"/>
  <c r="V362" i="69"/>
  <c r="V361" i="69" s="1"/>
  <c r="W361" i="69" s="1"/>
  <c r="V357" i="69"/>
  <c r="V356" i="69" s="1"/>
  <c r="V350" i="69"/>
  <c r="V349" i="69" s="1"/>
  <c r="W349" i="69" s="1"/>
  <c r="V346" i="69"/>
  <c r="V345" i="69" s="1"/>
  <c r="W345" i="69" s="1"/>
  <c r="V342" i="69"/>
  <c r="V341" i="69" s="1"/>
  <c r="V335" i="69"/>
  <c r="V334" i="69" s="1"/>
  <c r="V328" i="69"/>
  <c r="V327" i="69" s="1"/>
  <c r="V321" i="69"/>
  <c r="V320" i="69" s="1"/>
  <c r="V319" i="69" s="1"/>
  <c r="V314" i="69"/>
  <c r="V313" i="69" s="1"/>
  <c r="V308" i="69"/>
  <c r="V307" i="69" s="1"/>
  <c r="V302" i="69"/>
  <c r="V301" i="69" s="1"/>
  <c r="V295" i="69"/>
  <c r="V294" i="69" s="1"/>
  <c r="V289" i="69"/>
  <c r="V288" i="69" s="1"/>
  <c r="V281" i="69"/>
  <c r="V280" i="69" s="1"/>
  <c r="V279" i="69" s="1"/>
  <c r="V267" i="69"/>
  <c r="V254" i="69"/>
  <c r="V253" i="69" s="1"/>
  <c r="V247" i="69"/>
  <c r="V246" i="69" s="1"/>
  <c r="V228" i="69"/>
  <c r="V227" i="69" s="1"/>
  <c r="W227" i="69" s="1"/>
  <c r="V217" i="69"/>
  <c r="V216" i="69" s="1"/>
  <c r="V196" i="69"/>
  <c r="V195" i="69"/>
  <c r="V176" i="69"/>
  <c r="W176" i="69" s="1"/>
  <c r="V174" i="69"/>
  <c r="V173" i="69" s="1"/>
  <c r="V131" i="69"/>
  <c r="V130" i="69" s="1"/>
  <c r="V126" i="69"/>
  <c r="V125" i="69"/>
  <c r="V124" i="69" s="1"/>
  <c r="V84" i="69"/>
  <c r="V83" i="69"/>
  <c r="V82" i="69" s="1"/>
  <c r="V78" i="69"/>
  <c r="V77" i="69"/>
  <c r="V76" i="69" s="1"/>
  <c r="W76" i="69" s="1"/>
  <c r="W59" i="69"/>
  <c r="W77" i="69"/>
  <c r="W78" i="69"/>
  <c r="W79" i="69"/>
  <c r="W83" i="69"/>
  <c r="W84" i="69"/>
  <c r="W85" i="69"/>
  <c r="W126" i="69"/>
  <c r="W127" i="69"/>
  <c r="W131" i="69"/>
  <c r="W132" i="69"/>
  <c r="W170" i="69"/>
  <c r="W175" i="69"/>
  <c r="W177" i="69"/>
  <c r="W195" i="69"/>
  <c r="W196" i="69"/>
  <c r="W197" i="69"/>
  <c r="W217" i="69"/>
  <c r="W218" i="69"/>
  <c r="W228" i="69"/>
  <c r="W229" i="69"/>
  <c r="W247" i="69"/>
  <c r="W248" i="69"/>
  <c r="W254" i="69"/>
  <c r="W255" i="69"/>
  <c r="W262" i="69"/>
  <c r="W268" i="69"/>
  <c r="W282" i="69"/>
  <c r="W290" i="69"/>
  <c r="W296" i="69"/>
  <c r="W303" i="69"/>
  <c r="W309" i="69"/>
  <c r="W314" i="69"/>
  <c r="W315" i="69"/>
  <c r="W322" i="69"/>
  <c r="W329" i="69"/>
  <c r="W336" i="69"/>
  <c r="W337" i="69"/>
  <c r="W343" i="69"/>
  <c r="W344" i="69"/>
  <c r="W347" i="69"/>
  <c r="W348" i="69"/>
  <c r="W351" i="69"/>
  <c r="W352" i="69"/>
  <c r="W353" i="69"/>
  <c r="W358" i="69"/>
  <c r="W359" i="69"/>
  <c r="W360" i="69"/>
  <c r="W363" i="69"/>
  <c r="W364" i="69"/>
  <c r="W372" i="69"/>
  <c r="W377" i="69"/>
  <c r="W378" i="69"/>
  <c r="W384" i="69"/>
  <c r="W390" i="69"/>
  <c r="W391" i="69"/>
  <c r="W397" i="69"/>
  <c r="W398" i="69"/>
  <c r="W401" i="69"/>
  <c r="W402" i="69"/>
  <c r="W405" i="69"/>
  <c r="W406" i="69"/>
  <c r="W409" i="69"/>
  <c r="W411" i="69"/>
  <c r="W412" i="69"/>
  <c r="W416" i="69"/>
  <c r="W417" i="69"/>
  <c r="W419" i="69"/>
  <c r="W420" i="69"/>
  <c r="W427" i="69"/>
  <c r="W428" i="69"/>
  <c r="W430" i="69"/>
  <c r="W431" i="69"/>
  <c r="W437" i="69"/>
  <c r="W438" i="69"/>
  <c r="W441" i="69"/>
  <c r="W442" i="69"/>
  <c r="W449" i="69"/>
  <c r="W456" i="69"/>
  <c r="W457" i="69"/>
  <c r="W463" i="69"/>
  <c r="W466" i="69"/>
  <c r="W471" i="69"/>
  <c r="W472" i="69"/>
  <c r="W478" i="69"/>
  <c r="W484" i="69"/>
  <c r="W490" i="69"/>
  <c r="W493" i="69"/>
  <c r="W499" i="69"/>
  <c r="W502" i="69"/>
  <c r="W508" i="69"/>
  <c r="W511" i="69"/>
  <c r="W517" i="69"/>
  <c r="W522" i="69"/>
  <c r="W523" i="69"/>
  <c r="W528" i="69"/>
  <c r="W529" i="69"/>
  <c r="W533" i="69"/>
  <c r="W534" i="69"/>
  <c r="W535" i="69"/>
  <c r="W550" i="69"/>
  <c r="W556" i="69"/>
  <c r="W562" i="69"/>
  <c r="W569" i="69"/>
  <c r="W570" i="69"/>
  <c r="W573" i="69"/>
  <c r="W574" i="69"/>
  <c r="W580" i="69"/>
  <c r="W581" i="69"/>
  <c r="W589" i="69"/>
  <c r="W595" i="69"/>
  <c r="W602" i="69"/>
  <c r="W609" i="69"/>
  <c r="W614" i="69"/>
  <c r="W615" i="69"/>
  <c r="W620" i="69"/>
  <c r="W623" i="69"/>
  <c r="W624" i="69"/>
  <c r="D21" i="37"/>
  <c r="D22" i="37" s="1"/>
  <c r="D20" i="33"/>
  <c r="D21" i="33" s="1"/>
  <c r="D20" i="34"/>
  <c r="D21" i="34" s="1"/>
  <c r="E15" i="35"/>
  <c r="E14" i="35"/>
  <c r="E13" i="35"/>
  <c r="E12" i="35"/>
  <c r="E16" i="34"/>
  <c r="E15" i="34"/>
  <c r="E14" i="34"/>
  <c r="E13" i="34"/>
  <c r="E12" i="34"/>
  <c r="E16" i="37"/>
  <c r="E15" i="37"/>
  <c r="E14" i="37"/>
  <c r="E13" i="37"/>
  <c r="E12" i="37"/>
  <c r="E16" i="36"/>
  <c r="E15" i="36"/>
  <c r="E14" i="36"/>
  <c r="E13" i="36"/>
  <c r="E12" i="36"/>
  <c r="E17" i="57"/>
  <c r="E16" i="57"/>
  <c r="E15" i="57"/>
  <c r="E14" i="57"/>
  <c r="E13" i="57"/>
  <c r="E12" i="57"/>
  <c r="E13" i="33"/>
  <c r="E14" i="33"/>
  <c r="E15" i="33"/>
  <c r="E16" i="33"/>
  <c r="E12" i="33"/>
  <c r="E21" i="27"/>
  <c r="C19" i="27"/>
  <c r="W516" i="69" l="1"/>
  <c r="W477" i="69"/>
  <c r="W436" i="69"/>
  <c r="W400" i="69"/>
  <c r="W149" i="69"/>
  <c r="V225" i="69"/>
  <c r="V224" i="69" s="1"/>
  <c r="W224" i="69" s="1"/>
  <c r="W498" i="69"/>
  <c r="W462" i="69"/>
  <c r="W448" i="69"/>
  <c r="W601" i="69"/>
  <c r="W510" i="69"/>
  <c r="W483" i="69"/>
  <c r="W465" i="69"/>
  <c r="W335" i="69"/>
  <c r="W295" i="69"/>
  <c r="W106" i="69"/>
  <c r="V90" i="69"/>
  <c r="V89" i="69" s="1"/>
  <c r="W89" i="69" s="1"/>
  <c r="V120" i="69"/>
  <c r="V119" i="69" s="1"/>
  <c r="V118" i="69" s="1"/>
  <c r="W118" i="69" s="1"/>
  <c r="V158" i="69"/>
  <c r="V157" i="69" s="1"/>
  <c r="W157" i="69" s="1"/>
  <c r="V242" i="69"/>
  <c r="V241" i="69" s="1"/>
  <c r="W241" i="69" s="1"/>
  <c r="V50" i="69"/>
  <c r="V49" i="69" s="1"/>
  <c r="W49" i="69" s="1"/>
  <c r="W622" i="69"/>
  <c r="W619" i="69"/>
  <c r="W588" i="69"/>
  <c r="W549" i="69"/>
  <c r="W440" i="69"/>
  <c r="W396" i="69"/>
  <c r="W383" i="69"/>
  <c r="W371" i="69"/>
  <c r="W321" i="69"/>
  <c r="W308" i="69"/>
  <c r="W281" i="69"/>
  <c r="W261" i="69"/>
  <c r="W243" i="69"/>
  <c r="W211" i="69"/>
  <c r="W169" i="69"/>
  <c r="W159" i="69"/>
  <c r="W139" i="69"/>
  <c r="W546" i="69"/>
  <c r="V24" i="69"/>
  <c r="V23" i="69" s="1"/>
  <c r="V22" i="69" s="1"/>
  <c r="W22" i="69" s="1"/>
  <c r="V31" i="69"/>
  <c r="V30" i="69" s="1"/>
  <c r="W30" i="69" s="1"/>
  <c r="V36" i="69"/>
  <c r="V35" i="69" s="1"/>
  <c r="W35" i="69" s="1"/>
  <c r="V46" i="69"/>
  <c r="V45" i="69" s="1"/>
  <c r="V63" i="69"/>
  <c r="V62" i="69" s="1"/>
  <c r="V72" i="69"/>
  <c r="V71" i="69" s="1"/>
  <c r="W71" i="69" s="1"/>
  <c r="V95" i="69"/>
  <c r="V94" i="69" s="1"/>
  <c r="W94" i="69" s="1"/>
  <c r="V99" i="69"/>
  <c r="V98" i="69" s="1"/>
  <c r="V110" i="69"/>
  <c r="W110" i="69" s="1"/>
  <c r="V115" i="69"/>
  <c r="V114" i="69" s="1"/>
  <c r="V113" i="69" s="1"/>
  <c r="W113" i="69" s="1"/>
  <c r="V164" i="69"/>
  <c r="V163" i="69" s="1"/>
  <c r="V162" i="69" s="1"/>
  <c r="V205" i="69"/>
  <c r="V204" i="69" s="1"/>
  <c r="V238" i="69"/>
  <c r="W238" i="69" s="1"/>
  <c r="W568" i="69"/>
  <c r="W207" i="69"/>
  <c r="W154" i="69"/>
  <c r="W145" i="69"/>
  <c r="W73" i="69"/>
  <c r="W64" i="69"/>
  <c r="W47" i="69"/>
  <c r="V68" i="69"/>
  <c r="V143" i="69"/>
  <c r="W143" i="69" s="1"/>
  <c r="W144" i="69"/>
  <c r="W608" i="69"/>
  <c r="W594" i="69"/>
  <c r="W555" i="69"/>
  <c r="W501" i="69"/>
  <c r="W492" i="69"/>
  <c r="W302" i="69"/>
  <c r="W289" i="69"/>
  <c r="W210" i="69"/>
  <c r="W199" i="69"/>
  <c r="W166" i="69"/>
  <c r="W138" i="69"/>
  <c r="W117" i="69"/>
  <c r="W112" i="69"/>
  <c r="W102" i="69"/>
  <c r="V41" i="69"/>
  <c r="V40" i="69" s="1"/>
  <c r="V180" i="69"/>
  <c r="V179" i="69" s="1"/>
  <c r="W179" i="69" s="1"/>
  <c r="V184" i="69"/>
  <c r="W184" i="69" s="1"/>
  <c r="V272" i="69"/>
  <c r="V271" i="69" s="1"/>
  <c r="V270" i="69" s="1"/>
  <c r="W270" i="69" s="1"/>
  <c r="W579" i="69"/>
  <c r="W489" i="69"/>
  <c r="W426" i="69"/>
  <c r="V424" i="69"/>
  <c r="W424" i="69" s="1"/>
  <c r="W404" i="69"/>
  <c r="W362" i="69"/>
  <c r="W350" i="69"/>
  <c r="W342" i="69"/>
  <c r="V326" i="69"/>
  <c r="W326" i="69" s="1"/>
  <c r="W327" i="69"/>
  <c r="W328" i="69"/>
  <c r="W274" i="69"/>
  <c r="V233" i="69"/>
  <c r="V232" i="69" s="1"/>
  <c r="W234" i="69"/>
  <c r="V192" i="69"/>
  <c r="W186" i="69"/>
  <c r="W182" i="69"/>
  <c r="W153" i="69"/>
  <c r="W148" i="69"/>
  <c r="W97" i="69"/>
  <c r="V56" i="69"/>
  <c r="V55" i="69" s="1"/>
  <c r="W55" i="69" s="1"/>
  <c r="W57" i="69"/>
  <c r="W58" i="69"/>
  <c r="W56" i="69"/>
  <c r="V617" i="69"/>
  <c r="V616" i="69" s="1"/>
  <c r="W616" i="69" s="1"/>
  <c r="W618" i="69"/>
  <c r="W617" i="69"/>
  <c r="W613" i="69"/>
  <c r="V611" i="69"/>
  <c r="W611" i="69" s="1"/>
  <c r="W612" i="69"/>
  <c r="V610" i="69"/>
  <c r="W610" i="69" s="1"/>
  <c r="V606" i="69"/>
  <c r="W606" i="69" s="1"/>
  <c r="W607" i="69"/>
  <c r="V605" i="69"/>
  <c r="W605" i="69" s="1"/>
  <c r="V599" i="69"/>
  <c r="W599" i="69" s="1"/>
  <c r="W600" i="69"/>
  <c r="V598" i="69"/>
  <c r="V597" i="69" s="1"/>
  <c r="W597" i="69" s="1"/>
  <c r="W593" i="69"/>
  <c r="V591" i="69"/>
  <c r="W591" i="69" s="1"/>
  <c r="W592" i="69"/>
  <c r="V590" i="69"/>
  <c r="W590" i="69" s="1"/>
  <c r="V586" i="69"/>
  <c r="W586" i="69" s="1"/>
  <c r="W587" i="69"/>
  <c r="V585" i="69"/>
  <c r="W585" i="69" s="1"/>
  <c r="V577" i="69"/>
  <c r="W577" i="69" s="1"/>
  <c r="W578" i="69"/>
  <c r="W572" i="69"/>
  <c r="V566" i="69"/>
  <c r="W566" i="69" s="1"/>
  <c r="W567" i="69"/>
  <c r="V559" i="69"/>
  <c r="V558" i="69" s="1"/>
  <c r="W560" i="69"/>
  <c r="W561" i="69"/>
  <c r="V553" i="69"/>
  <c r="W553" i="69" s="1"/>
  <c r="W554" i="69"/>
  <c r="V552" i="69"/>
  <c r="W552" i="69" s="1"/>
  <c r="V547" i="69"/>
  <c r="W547" i="69" s="1"/>
  <c r="W548" i="69"/>
  <c r="V542" i="69"/>
  <c r="W542" i="69" s="1"/>
  <c r="V531" i="69"/>
  <c r="W532" i="69"/>
  <c r="V530" i="69"/>
  <c r="W530" i="69" s="1"/>
  <c r="W531" i="69"/>
  <c r="V525" i="69"/>
  <c r="V524" i="69" s="1"/>
  <c r="W524" i="69" s="1"/>
  <c r="W526" i="69"/>
  <c r="W527" i="69"/>
  <c r="V520" i="69"/>
  <c r="W520" i="69" s="1"/>
  <c r="W521" i="69"/>
  <c r="V519" i="69"/>
  <c r="W519" i="69" s="1"/>
  <c r="V518" i="69"/>
  <c r="W518" i="69" s="1"/>
  <c r="V514" i="69"/>
  <c r="V513" i="69" s="1"/>
  <c r="W513" i="69" s="1"/>
  <c r="W515" i="69"/>
  <c r="V505" i="69"/>
  <c r="W506" i="69"/>
  <c r="W507" i="69"/>
  <c r="V496" i="69"/>
  <c r="V495" i="69" s="1"/>
  <c r="V494" i="69" s="1"/>
  <c r="W494" i="69" s="1"/>
  <c r="W497" i="69"/>
  <c r="V487" i="69"/>
  <c r="W487" i="69" s="1"/>
  <c r="W488" i="69"/>
  <c r="V481" i="69"/>
  <c r="W481" i="69" s="1"/>
  <c r="W482" i="69"/>
  <c r="V480" i="69"/>
  <c r="W480" i="69" s="1"/>
  <c r="V474" i="69"/>
  <c r="V473" i="69" s="1"/>
  <c r="W473" i="69" s="1"/>
  <c r="W475" i="69"/>
  <c r="W476" i="69"/>
  <c r="V468" i="69"/>
  <c r="V467" i="69" s="1"/>
  <c r="W467" i="69" s="1"/>
  <c r="W469" i="69"/>
  <c r="W470" i="69"/>
  <c r="V460" i="69"/>
  <c r="V459" i="69" s="1"/>
  <c r="W461" i="69"/>
  <c r="V454" i="69"/>
  <c r="W454" i="69" s="1"/>
  <c r="W455" i="69"/>
  <c r="V453" i="69"/>
  <c r="W453" i="69" s="1"/>
  <c r="V452" i="69"/>
  <c r="W452" i="69" s="1"/>
  <c r="W446" i="69"/>
  <c r="V445" i="69"/>
  <c r="W447" i="69"/>
  <c r="V434" i="69"/>
  <c r="V433" i="69" s="1"/>
  <c r="W435" i="69"/>
  <c r="W429" i="69"/>
  <c r="W425" i="69"/>
  <c r="V414" i="69"/>
  <c r="W414" i="69" s="1"/>
  <c r="W415" i="69"/>
  <c r="V413" i="69"/>
  <c r="W413" i="69" s="1"/>
  <c r="V407" i="69"/>
  <c r="W407" i="69" s="1"/>
  <c r="W408" i="69"/>
  <c r="V394" i="69"/>
  <c r="W394" i="69" s="1"/>
  <c r="W395" i="69"/>
  <c r="V387" i="69"/>
  <c r="V386" i="69" s="1"/>
  <c r="V385" i="69" s="1"/>
  <c r="W385" i="69" s="1"/>
  <c r="W388" i="69"/>
  <c r="W389" i="69"/>
  <c r="W386" i="69"/>
  <c r="V381" i="69"/>
  <c r="W381" i="69" s="1"/>
  <c r="W382" i="69"/>
  <c r="V375" i="69"/>
  <c r="V374" i="69" s="1"/>
  <c r="W376" i="69"/>
  <c r="V373" i="69"/>
  <c r="W373" i="69" s="1"/>
  <c r="W374" i="69"/>
  <c r="W375" i="69"/>
  <c r="W370" i="69"/>
  <c r="V368" i="69"/>
  <c r="W368" i="69" s="1"/>
  <c r="W369" i="69"/>
  <c r="V367" i="69"/>
  <c r="W367" i="69" s="1"/>
  <c r="V355" i="69"/>
  <c r="W355" i="69" s="1"/>
  <c r="W357" i="69"/>
  <c r="V354" i="69"/>
  <c r="W354" i="69" s="1"/>
  <c r="W356" i="69"/>
  <c r="W346" i="69"/>
  <c r="V340" i="69"/>
  <c r="V339" i="69" s="1"/>
  <c r="V338" i="69" s="1"/>
  <c r="W338" i="69" s="1"/>
  <c r="W341" i="69"/>
  <c r="V333" i="69"/>
  <c r="V332" i="69" s="1"/>
  <c r="V331" i="69" s="1"/>
  <c r="W334" i="69"/>
  <c r="W333" i="69"/>
  <c r="V325" i="69"/>
  <c r="V318" i="69"/>
  <c r="V317" i="69" s="1"/>
  <c r="W319" i="69"/>
  <c r="W320" i="69"/>
  <c r="V312" i="69"/>
  <c r="W312" i="69" s="1"/>
  <c r="W313" i="69"/>
  <c r="V311" i="69"/>
  <c r="W311" i="69" s="1"/>
  <c r="V310" i="69"/>
  <c r="W310" i="69" s="1"/>
  <c r="V306" i="69"/>
  <c r="W306" i="69" s="1"/>
  <c r="W307" i="69"/>
  <c r="V305" i="69"/>
  <c r="V304" i="69" s="1"/>
  <c r="W304" i="69" s="1"/>
  <c r="V300" i="69"/>
  <c r="W300" i="69" s="1"/>
  <c r="W301" i="69"/>
  <c r="V299" i="69"/>
  <c r="W299" i="69" s="1"/>
  <c r="V293" i="69"/>
  <c r="V292" i="69" s="1"/>
  <c r="V291" i="69" s="1"/>
  <c r="W291" i="69" s="1"/>
  <c r="W294" i="69"/>
  <c r="W293" i="69"/>
  <c r="V287" i="69"/>
  <c r="W288" i="69"/>
  <c r="V278" i="69"/>
  <c r="V277" i="69" s="1"/>
  <c r="W279" i="69"/>
  <c r="W280" i="69"/>
  <c r="V266" i="69"/>
  <c r="V265" i="69" s="1"/>
  <c r="V264" i="69" s="1"/>
  <c r="W267" i="69"/>
  <c r="W266" i="69"/>
  <c r="V259" i="69"/>
  <c r="W259" i="69" s="1"/>
  <c r="W260" i="69"/>
  <c r="V252" i="69"/>
  <c r="W253" i="69"/>
  <c r="V251" i="69"/>
  <c r="V250" i="69" s="1"/>
  <c r="V249" i="69" s="1"/>
  <c r="W249" i="69" s="1"/>
  <c r="W252" i="69"/>
  <c r="W251" i="69"/>
  <c r="V245" i="69"/>
  <c r="W245" i="69" s="1"/>
  <c r="W246" i="69"/>
  <c r="V215" i="69"/>
  <c r="W215" i="69" s="1"/>
  <c r="W216" i="69"/>
  <c r="V214" i="69"/>
  <c r="W214" i="69" s="1"/>
  <c r="V208" i="69"/>
  <c r="W208" i="69" s="1"/>
  <c r="W209" i="69"/>
  <c r="V172" i="69"/>
  <c r="W173" i="69"/>
  <c r="W174" i="69"/>
  <c r="V167" i="69"/>
  <c r="W167" i="69" s="1"/>
  <c r="W168" i="69"/>
  <c r="V150" i="69"/>
  <c r="W150" i="69" s="1"/>
  <c r="W151" i="69"/>
  <c r="W152" i="69"/>
  <c r="V146" i="69"/>
  <c r="W146" i="69" s="1"/>
  <c r="W147" i="69"/>
  <c r="V136" i="69"/>
  <c r="W137" i="69"/>
  <c r="V129" i="69"/>
  <c r="V128" i="69" s="1"/>
  <c r="W128" i="69" s="1"/>
  <c r="W130" i="69"/>
  <c r="W129" i="69"/>
  <c r="W125" i="69"/>
  <c r="V123" i="69"/>
  <c r="W123" i="69" s="1"/>
  <c r="W124" i="69"/>
  <c r="V103" i="69"/>
  <c r="W103" i="69" s="1"/>
  <c r="W104" i="69"/>
  <c r="W105" i="69"/>
  <c r="V81" i="69"/>
  <c r="W82" i="69"/>
  <c r="V80" i="69"/>
  <c r="W80" i="69" s="1"/>
  <c r="W81" i="69"/>
  <c r="AH570" i="71"/>
  <c r="AG569" i="71"/>
  <c r="U569" i="71"/>
  <c r="W570" i="71"/>
  <c r="V569" i="71"/>
  <c r="T538" i="69" s="1"/>
  <c r="U568" i="71" l="1"/>
  <c r="S538" i="69"/>
  <c r="AG568" i="71"/>
  <c r="V538" i="69"/>
  <c r="W538" i="69" s="1"/>
  <c r="V34" i="69"/>
  <c r="W34" i="69" s="1"/>
  <c r="V213" i="69"/>
  <c r="W23" i="69"/>
  <c r="V223" i="69"/>
  <c r="V222" i="69" s="1"/>
  <c r="W222" i="69" s="1"/>
  <c r="V21" i="69"/>
  <c r="V20" i="69" s="1"/>
  <c r="W20" i="69" s="1"/>
  <c r="W119" i="69"/>
  <c r="W163" i="69"/>
  <c r="W24" i="69"/>
  <c r="W164" i="69"/>
  <c r="W242" i="69"/>
  <c r="W225" i="69"/>
  <c r="W63" i="69"/>
  <c r="V486" i="69"/>
  <c r="W486" i="69" s="1"/>
  <c r="V565" i="69"/>
  <c r="V564" i="69" s="1"/>
  <c r="W564" i="69" s="1"/>
  <c r="W331" i="69"/>
  <c r="V330" i="69"/>
  <c r="X332" i="69" s="1"/>
  <c r="W162" i="69"/>
  <c r="V161" i="69"/>
  <c r="W161" i="69" s="1"/>
  <c r="W95" i="69"/>
  <c r="W318" i="69"/>
  <c r="W41" i="69"/>
  <c r="V109" i="69"/>
  <c r="W109" i="69" s="1"/>
  <c r="V183" i="69"/>
  <c r="W183" i="69" s="1"/>
  <c r="V237" i="69"/>
  <c r="V236" i="69" s="1"/>
  <c r="W236" i="69" s="1"/>
  <c r="W120" i="69"/>
  <c r="W31" i="69"/>
  <c r="V88" i="69"/>
  <c r="W88" i="69" s="1"/>
  <c r="V142" i="69"/>
  <c r="V141" i="69" s="1"/>
  <c r="W141" i="69" s="1"/>
  <c r="W72" i="69"/>
  <c r="W205" i="69"/>
  <c r="V39" i="69"/>
  <c r="W39" i="69" s="1"/>
  <c r="W40" i="69"/>
  <c r="V258" i="69"/>
  <c r="W258" i="69" s="1"/>
  <c r="V380" i="69"/>
  <c r="W380" i="69" s="1"/>
  <c r="V576" i="69"/>
  <c r="V575" i="69" s="1"/>
  <c r="W575" i="69" s="1"/>
  <c r="V29" i="69"/>
  <c r="W29" i="69" s="1"/>
  <c r="V156" i="69"/>
  <c r="W115" i="69"/>
  <c r="W158" i="69"/>
  <c r="W99" i="69"/>
  <c r="W46" i="69"/>
  <c r="W204" i="69"/>
  <c r="V203" i="69"/>
  <c r="W203" i="69" s="1"/>
  <c r="W98" i="69"/>
  <c r="V93" i="69"/>
  <c r="W93" i="69" s="1"/>
  <c r="W114" i="69"/>
  <c r="W90" i="69"/>
  <c r="W50" i="69"/>
  <c r="V202" i="69"/>
  <c r="W202" i="69" s="1"/>
  <c r="V61" i="69"/>
  <c r="W61" i="69" s="1"/>
  <c r="W62" i="69"/>
  <c r="V512" i="69"/>
  <c r="W512" i="69" s="1"/>
  <c r="V269" i="69"/>
  <c r="W269" i="69" s="1"/>
  <c r="V423" i="69"/>
  <c r="W36" i="69"/>
  <c r="W340" i="69"/>
  <c r="V393" i="69"/>
  <c r="W393" i="69" s="1"/>
  <c r="V44" i="69"/>
  <c r="V67" i="69"/>
  <c r="W68" i="69"/>
  <c r="W271" i="69"/>
  <c r="V541" i="69"/>
  <c r="V596" i="69"/>
  <c r="W596" i="69" s="1"/>
  <c r="W45" i="69"/>
  <c r="W180" i="69"/>
  <c r="W272" i="69"/>
  <c r="V298" i="69"/>
  <c r="W298" i="69" s="1"/>
  <c r="W332" i="69"/>
  <c r="V316" i="69"/>
  <c r="W316" i="69" s="1"/>
  <c r="W317" i="69"/>
  <c r="W21" i="69"/>
  <c r="W292" i="69"/>
  <c r="V479" i="69"/>
  <c r="W479" i="69" s="1"/>
  <c r="W514" i="69"/>
  <c r="W559" i="69"/>
  <c r="W598" i="69"/>
  <c r="W569" i="71"/>
  <c r="W233" i="69"/>
  <c r="V584" i="69"/>
  <c r="W584" i="69" s="1"/>
  <c r="W558" i="69"/>
  <c r="V557" i="69"/>
  <c r="W557" i="69" s="1"/>
  <c r="V551" i="69"/>
  <c r="W305" i="69"/>
  <c r="V231" i="69"/>
  <c r="W232" i="69"/>
  <c r="V191" i="69"/>
  <c r="W192" i="69"/>
  <c r="V604" i="69"/>
  <c r="W604" i="69" s="1"/>
  <c r="W525" i="69"/>
  <c r="V504" i="69"/>
  <c r="W505" i="69"/>
  <c r="W496" i="69"/>
  <c r="W495" i="69"/>
  <c r="V485" i="69"/>
  <c r="W485" i="69" s="1"/>
  <c r="W474" i="69"/>
  <c r="W468" i="69"/>
  <c r="W460" i="69"/>
  <c r="V458" i="69"/>
  <c r="W459" i="69"/>
  <c r="V444" i="69"/>
  <c r="W445" i="69"/>
  <c r="W433" i="69"/>
  <c r="V432" i="69"/>
  <c r="W432" i="69" s="1"/>
  <c r="W434" i="69"/>
  <c r="W387" i="69"/>
  <c r="W339" i="69"/>
  <c r="V324" i="69"/>
  <c r="W325" i="69"/>
  <c r="V286" i="69"/>
  <c r="W287" i="69"/>
  <c r="W278" i="69"/>
  <c r="V276" i="69"/>
  <c r="V275" i="69" s="1"/>
  <c r="W275" i="69" s="1"/>
  <c r="W277" i="69"/>
  <c r="W276" i="69"/>
  <c r="W265" i="69"/>
  <c r="V263" i="69"/>
  <c r="W263" i="69" s="1"/>
  <c r="W264" i="69"/>
  <c r="W250" i="69"/>
  <c r="V221" i="69"/>
  <c r="W221" i="69" s="1"/>
  <c r="W172" i="69"/>
  <c r="V135" i="69"/>
  <c r="W136" i="69"/>
  <c r="V568" i="71"/>
  <c r="AH569" i="71"/>
  <c r="AH568" i="71"/>
  <c r="W541" i="69" l="1"/>
  <c r="V540" i="69"/>
  <c r="V178" i="69"/>
  <c r="W178" i="69" s="1"/>
  <c r="V567" i="71"/>
  <c r="T537" i="69"/>
  <c r="W458" i="69"/>
  <c r="AG567" i="71"/>
  <c r="V537" i="69"/>
  <c r="W537" i="69" s="1"/>
  <c r="U567" i="71"/>
  <c r="S536" i="69" s="1"/>
  <c r="S537" i="69"/>
  <c r="W223" i="69"/>
  <c r="W213" i="69"/>
  <c r="V212" i="69"/>
  <c r="W212" i="69" s="1"/>
  <c r="W330" i="69"/>
  <c r="W565" i="69"/>
  <c r="V379" i="69"/>
  <c r="W379" i="69" s="1"/>
  <c r="W142" i="69"/>
  <c r="W576" i="69"/>
  <c r="V140" i="69"/>
  <c r="W140" i="69" s="1"/>
  <c r="V108" i="69"/>
  <c r="W108" i="69" s="1"/>
  <c r="W237" i="69"/>
  <c r="V28" i="69"/>
  <c r="W28" i="69" s="1"/>
  <c r="V201" i="69"/>
  <c r="W201" i="69" s="1"/>
  <c r="V257" i="69"/>
  <c r="W257" i="69" s="1"/>
  <c r="W156" i="69"/>
  <c r="V155" i="69"/>
  <c r="W155" i="69" s="1"/>
  <c r="V87" i="69"/>
  <c r="W87" i="69" s="1"/>
  <c r="V297" i="69"/>
  <c r="W297" i="69" s="1"/>
  <c r="V563" i="69"/>
  <c r="W563" i="69" s="1"/>
  <c r="V392" i="69"/>
  <c r="W392" i="69" s="1"/>
  <c r="W44" i="69"/>
  <c r="W423" i="69"/>
  <c r="V422" i="69"/>
  <c r="W67" i="69"/>
  <c r="V66" i="69"/>
  <c r="V583" i="69"/>
  <c r="W583" i="69" s="1"/>
  <c r="W551" i="69"/>
  <c r="W540" i="69"/>
  <c r="V230" i="69"/>
  <c r="W230" i="69" s="1"/>
  <c r="W231" i="69"/>
  <c r="W191" i="69"/>
  <c r="V190" i="69"/>
  <c r="V603" i="69"/>
  <c r="W603" i="69" s="1"/>
  <c r="V503" i="69"/>
  <c r="W504" i="69"/>
  <c r="V443" i="69"/>
  <c r="W443" i="69" s="1"/>
  <c r="W444" i="69"/>
  <c r="W324" i="69"/>
  <c r="V323" i="69"/>
  <c r="W323" i="69" s="1"/>
  <c r="V285" i="69"/>
  <c r="W286" i="69"/>
  <c r="W135" i="69"/>
  <c r="V134" i="69"/>
  <c r="W568" i="71"/>
  <c r="V171" i="69" l="1"/>
  <c r="W171" i="69" s="1"/>
  <c r="V536" i="69"/>
  <c r="W536" i="69" s="1"/>
  <c r="AH567" i="71"/>
  <c r="W567" i="71"/>
  <c r="T536" i="69"/>
  <c r="V107" i="69"/>
  <c r="W107" i="69" s="1"/>
  <c r="V200" i="69"/>
  <c r="W200" i="69" s="1"/>
  <c r="V27" i="69"/>
  <c r="W27" i="69" s="1"/>
  <c r="V256" i="69"/>
  <c r="W256" i="69" s="1"/>
  <c r="V86" i="69"/>
  <c r="W86" i="69" s="1"/>
  <c r="V366" i="69"/>
  <c r="W366" i="69" s="1"/>
  <c r="W422" i="69"/>
  <c r="V421" i="69"/>
  <c r="W66" i="69"/>
  <c r="V60" i="69"/>
  <c r="V582" i="69"/>
  <c r="W582" i="69" s="1"/>
  <c r="V220" i="69"/>
  <c r="W220" i="69" s="1"/>
  <c r="V189" i="69"/>
  <c r="W190" i="69"/>
  <c r="W503" i="69"/>
  <c r="W285" i="69"/>
  <c r="V284" i="69"/>
  <c r="W134" i="69"/>
  <c r="V133" i="69"/>
  <c r="W133" i="69" s="1"/>
  <c r="V451" i="69" l="1"/>
  <c r="W451" i="69" s="1"/>
  <c r="W421" i="69"/>
  <c r="V365" i="69"/>
  <c r="W365" i="69" s="1"/>
  <c r="W60" i="69"/>
  <c r="V54" i="69"/>
  <c r="W54" i="69" s="1"/>
  <c r="V219" i="69"/>
  <c r="W219" i="69" s="1"/>
  <c r="W189" i="69"/>
  <c r="V188" i="69"/>
  <c r="V450" i="69"/>
  <c r="W284" i="69"/>
  <c r="V283" i="69"/>
  <c r="V19" i="69"/>
  <c r="W450" i="69" l="1"/>
  <c r="W283" i="69"/>
  <c r="X285" i="69"/>
  <c r="W19" i="69"/>
  <c r="W188" i="69"/>
  <c r="V187" i="69"/>
  <c r="W187" i="69" s="1"/>
  <c r="V18" i="69" l="1"/>
  <c r="W18" i="69" s="1"/>
  <c r="AG173" i="71"/>
  <c r="AG172" i="71" s="1"/>
  <c r="AG171" i="71" s="1"/>
  <c r="AG170" i="71" s="1"/>
  <c r="AG169" i="71" s="1"/>
  <c r="U173" i="71"/>
  <c r="U172" i="71" l="1"/>
  <c r="U545" i="69"/>
  <c r="W545" i="69" s="1"/>
  <c r="AH174" i="71"/>
  <c r="AH173" i="71"/>
  <c r="AH172" i="71"/>
  <c r="AG655" i="71"/>
  <c r="AG654" i="71" s="1"/>
  <c r="AH654" i="71" s="1"/>
  <c r="AG652" i="71"/>
  <c r="AG651" i="71" s="1"/>
  <c r="AG647" i="71"/>
  <c r="AG646" i="71" s="1"/>
  <c r="AG641" i="71"/>
  <c r="AG640" i="71" s="1"/>
  <c r="AG634" i="71"/>
  <c r="AG633" i="71" s="1"/>
  <c r="AG628" i="71"/>
  <c r="AG627" i="71" s="1"/>
  <c r="AG624" i="71"/>
  <c r="AG623" i="71" s="1"/>
  <c r="AG619" i="71"/>
  <c r="AG618" i="71" s="1"/>
  <c r="AG613" i="71"/>
  <c r="AG612" i="71" s="1"/>
  <c r="AG611" i="71" s="1"/>
  <c r="AG607" i="71"/>
  <c r="AG606" i="71" s="1"/>
  <c r="AH606" i="71" s="1"/>
  <c r="AG603" i="71"/>
  <c r="AG602" i="71" s="1"/>
  <c r="AG598" i="71"/>
  <c r="AG597" i="71" s="1"/>
  <c r="AG596" i="71" s="1"/>
  <c r="AG590" i="71"/>
  <c r="AG589" i="71" s="1"/>
  <c r="AG583" i="71"/>
  <c r="AG582" i="71" s="1"/>
  <c r="AG581" i="71" s="1"/>
  <c r="AG580" i="71" s="1"/>
  <c r="AG577" i="71"/>
  <c r="AG576" i="71" s="1"/>
  <c r="AG575" i="71" s="1"/>
  <c r="AG565" i="71"/>
  <c r="AG564" i="71" s="1"/>
  <c r="AG559" i="71"/>
  <c r="AG558" i="71" s="1"/>
  <c r="AG553" i="71"/>
  <c r="AG552" i="71" s="1"/>
  <c r="AG545" i="71"/>
  <c r="AG544" i="71" s="1"/>
  <c r="AG537" i="71"/>
  <c r="AG536" i="71" s="1"/>
  <c r="AH536" i="71" s="1"/>
  <c r="AG532" i="71"/>
  <c r="AG531" i="71" s="1"/>
  <c r="AG525" i="71"/>
  <c r="AG524" i="71" s="1"/>
  <c r="AG517" i="71"/>
  <c r="AG516" i="71" s="1"/>
  <c r="AG515" i="71" s="1"/>
  <c r="AG511" i="71"/>
  <c r="AG510" i="71" s="1"/>
  <c r="AG504" i="71"/>
  <c r="AG503" i="71" s="1"/>
  <c r="AG496" i="71"/>
  <c r="AG495" i="71" s="1"/>
  <c r="AG489" i="71"/>
  <c r="AG488" i="71" s="1"/>
  <c r="AG484" i="71"/>
  <c r="AG483" i="71" s="1"/>
  <c r="AG482" i="71" s="1"/>
  <c r="AG477" i="71"/>
  <c r="AG476" i="71" s="1"/>
  <c r="AH476" i="71" s="1"/>
  <c r="AG473" i="71"/>
  <c r="AG472" i="71" s="1"/>
  <c r="AG465" i="71"/>
  <c r="AG464" i="71" s="1"/>
  <c r="AH464" i="71" s="1"/>
  <c r="AG461" i="71"/>
  <c r="AG460" i="71" s="1"/>
  <c r="AG457" i="71"/>
  <c r="AG456" i="71" s="1"/>
  <c r="AG455" i="71" s="1"/>
  <c r="AG451" i="71"/>
  <c r="AG450" i="71" s="1"/>
  <c r="AG446" i="71"/>
  <c r="AG445" i="71" s="1"/>
  <c r="AG444" i="71" s="1"/>
  <c r="AG441" i="71"/>
  <c r="AG440" i="71" s="1"/>
  <c r="AG437" i="71"/>
  <c r="AG436" i="71" s="1"/>
  <c r="AG431" i="71"/>
  <c r="AG430" i="71" s="1"/>
  <c r="AG424" i="71"/>
  <c r="AG423" i="71" s="1"/>
  <c r="AG422" i="71" s="1"/>
  <c r="AG419" i="71"/>
  <c r="AG418" i="71" s="1"/>
  <c r="AG413" i="71"/>
  <c r="AG412" i="71" s="1"/>
  <c r="AG407" i="71"/>
  <c r="AG406" i="71" s="1"/>
  <c r="AH406" i="71" s="1"/>
  <c r="AG403" i="71"/>
  <c r="AG402" i="71" s="1"/>
  <c r="AG398" i="71"/>
  <c r="AG397" i="71" s="1"/>
  <c r="AG393" i="71"/>
  <c r="AG392" i="71" s="1"/>
  <c r="AG386" i="71"/>
  <c r="AG385" i="71" s="1"/>
  <c r="AG378" i="71"/>
  <c r="AG377" i="71" s="1"/>
  <c r="AG376" i="71" s="1"/>
  <c r="AG375" i="71" s="1"/>
  <c r="AG372" i="71"/>
  <c r="AG371" i="71" s="1"/>
  <c r="AG367" i="71"/>
  <c r="AG366" i="71" s="1"/>
  <c r="AG362" i="71"/>
  <c r="AG361" i="71" s="1"/>
  <c r="AG354" i="71"/>
  <c r="AG353" i="71" s="1"/>
  <c r="AH353" i="71" s="1"/>
  <c r="AG350" i="71"/>
  <c r="AG349" i="71" s="1"/>
  <c r="AG345" i="71"/>
  <c r="AG344" i="71" s="1"/>
  <c r="AG340" i="71"/>
  <c r="AG339" i="71" s="1"/>
  <c r="AG335" i="71"/>
  <c r="AG334" i="71" s="1"/>
  <c r="AG327" i="71"/>
  <c r="AG326" i="71" s="1"/>
  <c r="AG320" i="71"/>
  <c r="AG319" i="71" s="1"/>
  <c r="AG310" i="71"/>
  <c r="AG309" i="71" s="1"/>
  <c r="AH309" i="71" s="1"/>
  <c r="AG306" i="71"/>
  <c r="AG305" i="71" s="1"/>
  <c r="AH305" i="71" s="1"/>
  <c r="AG302" i="71"/>
  <c r="AG301" i="71" s="1"/>
  <c r="AG295" i="71"/>
  <c r="AG294" i="71" s="1"/>
  <c r="AG288" i="71"/>
  <c r="AG287" i="71" s="1"/>
  <c r="AG281" i="71"/>
  <c r="AG280" i="71" s="1"/>
  <c r="AG274" i="71"/>
  <c r="AG273" i="71" s="1"/>
  <c r="AG268" i="71"/>
  <c r="AG267" i="71" s="1"/>
  <c r="AG262" i="71"/>
  <c r="AG261" i="71" s="1"/>
  <c r="AG255" i="71"/>
  <c r="AG254" i="71" s="1"/>
  <c r="AG249" i="71"/>
  <c r="AG248" i="71" s="1"/>
  <c r="AG239" i="71"/>
  <c r="AG238" i="71" s="1"/>
  <c r="AG233" i="71"/>
  <c r="AG232" i="71" s="1"/>
  <c r="AG231" i="71" s="1"/>
  <c r="AG228" i="71"/>
  <c r="AG227" i="71" s="1"/>
  <c r="AH227" i="71" s="1"/>
  <c r="AG224" i="71"/>
  <c r="AG223" i="71" s="1"/>
  <c r="AG219" i="71"/>
  <c r="AG218" i="71" s="1"/>
  <c r="AG214" i="71"/>
  <c r="AG213" i="71" s="1"/>
  <c r="AH213" i="71" s="1"/>
  <c r="AG211" i="71"/>
  <c r="AG210" i="71" s="1"/>
  <c r="AH210" i="71" s="1"/>
  <c r="AG201" i="71"/>
  <c r="AG200" i="71" s="1"/>
  <c r="AG194" i="71"/>
  <c r="AG193" i="71" s="1"/>
  <c r="AH193" i="71" s="1"/>
  <c r="AG190" i="71"/>
  <c r="AG189" i="71" s="1"/>
  <c r="AG183" i="71"/>
  <c r="AG177" i="71"/>
  <c r="AG166" i="71"/>
  <c r="AG165" i="71" s="1"/>
  <c r="AH165" i="71" s="1"/>
  <c r="AG163" i="71"/>
  <c r="AG162" i="71" s="1"/>
  <c r="AG157" i="71"/>
  <c r="AG156" i="71" s="1"/>
  <c r="AH156" i="71" s="1"/>
  <c r="AG154" i="71"/>
  <c r="AG153" i="71" s="1"/>
  <c r="AG148" i="71"/>
  <c r="AG147" i="71" s="1"/>
  <c r="AH147" i="71" s="1"/>
  <c r="AG145" i="71"/>
  <c r="AG144" i="71" s="1"/>
  <c r="AG139" i="71"/>
  <c r="AG138" i="71" s="1"/>
  <c r="AG133" i="71"/>
  <c r="AG132" i="71" s="1"/>
  <c r="AG127" i="71"/>
  <c r="AG126" i="71" s="1"/>
  <c r="AG125" i="71" s="1"/>
  <c r="AG121" i="71"/>
  <c r="AG120" i="71" s="1"/>
  <c r="AH120" i="71" s="1"/>
  <c r="AG118" i="71"/>
  <c r="AG117" i="71" s="1"/>
  <c r="AG112" i="71"/>
  <c r="AG111" i="71" s="1"/>
  <c r="AG102" i="71"/>
  <c r="AG101" i="71" s="1"/>
  <c r="AH101" i="71" s="1"/>
  <c r="AG98" i="71"/>
  <c r="AG97" i="71" s="1"/>
  <c r="AG92" i="71"/>
  <c r="AG91" i="71" s="1"/>
  <c r="AH91" i="71" s="1"/>
  <c r="AG88" i="71"/>
  <c r="AG87" i="71" s="1"/>
  <c r="AG81" i="71"/>
  <c r="AG80" i="71" s="1"/>
  <c r="AH80" i="71" s="1"/>
  <c r="AG78" i="71"/>
  <c r="AG77" i="71" s="1"/>
  <c r="AG73" i="71"/>
  <c r="AG72" i="71" s="1"/>
  <c r="AG66" i="71"/>
  <c r="AG65" i="71" s="1"/>
  <c r="AH65" i="71" s="1"/>
  <c r="AG62" i="71"/>
  <c r="AG61" i="71" s="1"/>
  <c r="AH61" i="71" s="1"/>
  <c r="AG58" i="71"/>
  <c r="AG57" i="71" s="1"/>
  <c r="AG51" i="71"/>
  <c r="AG50" i="71" s="1"/>
  <c r="AG45" i="71"/>
  <c r="AG44" i="71" s="1"/>
  <c r="AG39" i="71"/>
  <c r="AG38" i="71" s="1"/>
  <c r="AG33" i="71"/>
  <c r="AG32" i="71" s="1"/>
  <c r="AG31" i="71" s="1"/>
  <c r="AG30" i="71" s="1"/>
  <c r="AG29" i="71" s="1"/>
  <c r="AG25" i="71"/>
  <c r="AG24" i="71" s="1"/>
  <c r="AH26" i="71"/>
  <c r="AH34" i="71"/>
  <c r="AH40" i="71"/>
  <c r="AH46" i="71"/>
  <c r="AH52" i="71"/>
  <c r="AH53" i="71"/>
  <c r="AH59" i="71"/>
  <c r="AH60" i="71"/>
  <c r="AH63" i="71"/>
  <c r="AH64" i="71"/>
  <c r="AH66" i="71"/>
  <c r="AH67" i="71"/>
  <c r="AH68" i="71"/>
  <c r="AH73" i="71"/>
  <c r="AH74" i="71"/>
  <c r="AH79" i="71"/>
  <c r="AH82" i="71"/>
  <c r="AH89" i="71"/>
  <c r="AH90" i="71"/>
  <c r="AH93" i="71"/>
  <c r="AH98" i="71"/>
  <c r="AH99" i="71"/>
  <c r="AH100" i="71"/>
  <c r="AH103" i="71"/>
  <c r="AH104" i="71"/>
  <c r="AH113" i="71"/>
  <c r="AH119" i="71"/>
  <c r="AH122" i="71"/>
  <c r="AH128" i="71"/>
  <c r="AH134" i="71"/>
  <c r="AH140" i="71"/>
  <c r="AH146" i="71"/>
  <c r="AH149" i="71"/>
  <c r="AH155" i="71"/>
  <c r="AH158" i="71"/>
  <c r="AH164" i="71"/>
  <c r="AH167" i="71"/>
  <c r="AH178" i="71"/>
  <c r="AH184" i="71"/>
  <c r="AH191" i="71"/>
  <c r="AH192" i="71"/>
  <c r="AH195" i="71"/>
  <c r="AH196" i="71"/>
  <c r="AH202" i="71"/>
  <c r="AH203" i="71"/>
  <c r="AH212" i="71"/>
  <c r="AH215" i="71"/>
  <c r="AH220" i="71"/>
  <c r="AH221" i="71"/>
  <c r="AH225" i="71"/>
  <c r="AH226" i="71"/>
  <c r="AH229" i="71"/>
  <c r="AH230" i="71"/>
  <c r="AH234" i="71"/>
  <c r="AH240" i="71"/>
  <c r="AH241" i="71"/>
  <c r="AH250" i="71"/>
  <c r="AH256" i="71"/>
  <c r="AH263" i="71"/>
  <c r="AH269" i="71"/>
  <c r="AH275" i="71"/>
  <c r="AH282" i="71"/>
  <c r="AH289" i="71"/>
  <c r="AH296" i="71"/>
  <c r="AH297" i="71"/>
  <c r="AH303" i="71"/>
  <c r="AH304" i="71"/>
  <c r="AH307" i="71"/>
  <c r="AH308" i="71"/>
  <c r="AH311" i="71"/>
  <c r="AH312" i="71"/>
  <c r="AH313" i="71"/>
  <c r="AH321" i="71"/>
  <c r="AH328" i="71"/>
  <c r="AH336" i="71"/>
  <c r="AH337" i="71"/>
  <c r="AH341" i="71"/>
  <c r="AH342" i="71"/>
  <c r="AH346" i="71"/>
  <c r="AH347" i="71"/>
  <c r="AH351" i="71"/>
  <c r="AH352" i="71"/>
  <c r="AH355" i="71"/>
  <c r="AH356" i="71"/>
  <c r="AH357" i="71"/>
  <c r="AH363" i="71"/>
  <c r="AH364" i="71"/>
  <c r="AH368" i="71"/>
  <c r="AH369" i="71"/>
  <c r="AH373" i="71"/>
  <c r="AH374" i="71"/>
  <c r="AH379" i="71"/>
  <c r="AH387" i="71"/>
  <c r="AH388" i="71"/>
  <c r="AH394" i="71"/>
  <c r="AH399" i="71"/>
  <c r="AH400" i="71"/>
  <c r="AH404" i="71"/>
  <c r="AH405" i="71"/>
  <c r="AH407" i="71"/>
  <c r="AH408" i="71"/>
  <c r="AH409" i="71"/>
  <c r="AH410" i="71"/>
  <c r="AH414" i="71"/>
  <c r="AH420" i="71"/>
  <c r="AH425" i="71"/>
  <c r="AH432" i="71"/>
  <c r="AH438" i="71"/>
  <c r="AH442" i="71"/>
  <c r="AH447" i="71"/>
  <c r="AH451" i="71"/>
  <c r="AH452" i="71"/>
  <c r="AH453" i="71"/>
  <c r="AH458" i="71"/>
  <c r="AH461" i="71"/>
  <c r="AH462" i="71"/>
  <c r="AH463" i="71"/>
  <c r="AH466" i="71"/>
  <c r="AH467" i="71"/>
  <c r="AH474" i="71"/>
  <c r="AH475" i="71"/>
  <c r="AH478" i="71"/>
  <c r="AH485" i="71"/>
  <c r="AH486" i="71"/>
  <c r="AH490" i="71"/>
  <c r="AH497" i="71"/>
  <c r="AH505" i="71"/>
  <c r="AH512" i="71"/>
  <c r="AH518" i="71"/>
  <c r="AH526" i="71"/>
  <c r="AH533" i="71"/>
  <c r="AH534" i="71"/>
  <c r="AH535" i="71"/>
  <c r="AH538" i="71"/>
  <c r="AH539" i="71"/>
  <c r="AH546" i="71"/>
  <c r="AH554" i="71"/>
  <c r="AH560" i="71"/>
  <c r="AH566" i="71"/>
  <c r="AH578" i="71"/>
  <c r="AH584" i="71"/>
  <c r="AH591" i="71"/>
  <c r="AH599" i="71"/>
  <c r="AH600" i="71"/>
  <c r="AH604" i="71"/>
  <c r="AH605" i="71"/>
  <c r="AH608" i="71"/>
  <c r="AH609" i="71"/>
  <c r="AH610" i="71"/>
  <c r="AH614" i="71"/>
  <c r="AH620" i="71"/>
  <c r="AH621" i="71"/>
  <c r="AH625" i="71"/>
  <c r="AH629" i="71"/>
  <c r="AH635" i="71"/>
  <c r="AH642" i="71"/>
  <c r="AH648" i="71"/>
  <c r="AH653" i="71"/>
  <c r="AH656" i="71"/>
  <c r="AG182" i="71" l="1"/>
  <c r="P99" i="76"/>
  <c r="Q99" i="76" s="1"/>
  <c r="AG176" i="71"/>
  <c r="P92" i="76" s="1"/>
  <c r="Q92" i="76" s="1"/>
  <c r="P93" i="76"/>
  <c r="Q93" i="76" s="1"/>
  <c r="AH655" i="71"/>
  <c r="AH652" i="71"/>
  <c r="AH583" i="71"/>
  <c r="AH525" i="71"/>
  <c r="AH431" i="71"/>
  <c r="AH362" i="71"/>
  <c r="AH350" i="71"/>
  <c r="AH310" i="71"/>
  <c r="AH249" i="71"/>
  <c r="AH224" i="71"/>
  <c r="AH214" i="71"/>
  <c r="AH201" i="71"/>
  <c r="AH477" i="71"/>
  <c r="AH127" i="71"/>
  <c r="AH641" i="71"/>
  <c r="AH619" i="71"/>
  <c r="AH553" i="71"/>
  <c r="AH537" i="71"/>
  <c r="AH496" i="71"/>
  <c r="AH484" i="71"/>
  <c r="AH441" i="71"/>
  <c r="AH419" i="71"/>
  <c r="AH372" i="71"/>
  <c r="AH340" i="71"/>
  <c r="AH327" i="71"/>
  <c r="AH302" i="71"/>
  <c r="AH288" i="71"/>
  <c r="AH190" i="71"/>
  <c r="AH112" i="71"/>
  <c r="AH281" i="71"/>
  <c r="AH624" i="71"/>
  <c r="AH559" i="71"/>
  <c r="AH545" i="71"/>
  <c r="AH457" i="71"/>
  <c r="AH320" i="71"/>
  <c r="AH183" i="71"/>
  <c r="AH102" i="71"/>
  <c r="AH81" i="71"/>
  <c r="AH163" i="71"/>
  <c r="AH121" i="71"/>
  <c r="AH78" i="71"/>
  <c r="AH634" i="71"/>
  <c r="AH613" i="71"/>
  <c r="AH603" i="71"/>
  <c r="AH590" i="71"/>
  <c r="AH577" i="71"/>
  <c r="AH532" i="71"/>
  <c r="AH517" i="71"/>
  <c r="AH489" i="71"/>
  <c r="AH465" i="71"/>
  <c r="AH446" i="71"/>
  <c r="AH437" i="71"/>
  <c r="AH424" i="71"/>
  <c r="AH403" i="71"/>
  <c r="AH393" i="71"/>
  <c r="AH378" i="71"/>
  <c r="AH367" i="71"/>
  <c r="AH345" i="71"/>
  <c r="AH306" i="71"/>
  <c r="AH239" i="71"/>
  <c r="AH228" i="71"/>
  <c r="AH194" i="71"/>
  <c r="AH166" i="71"/>
  <c r="AH157" i="71"/>
  <c r="U171" i="71"/>
  <c r="U544" i="69"/>
  <c r="W544" i="69" s="1"/>
  <c r="AH473" i="71"/>
  <c r="AG365" i="71"/>
  <c r="AH365" i="71" s="1"/>
  <c r="AH366" i="71"/>
  <c r="AH295" i="71"/>
  <c r="AH88" i="71"/>
  <c r="AH62" i="71"/>
  <c r="AH33" i="71"/>
  <c r="AH154" i="71"/>
  <c r="AH118" i="71"/>
  <c r="AH92" i="71"/>
  <c r="AH51" i="71"/>
  <c r="AH25" i="71"/>
  <c r="AG650" i="71"/>
  <c r="AG649" i="71" s="1"/>
  <c r="AH649" i="71" s="1"/>
  <c r="AH651" i="71"/>
  <c r="AH650" i="71"/>
  <c r="AG645" i="71"/>
  <c r="AG644" i="71" s="1"/>
  <c r="AG643" i="71" s="1"/>
  <c r="AH643" i="71" s="1"/>
  <c r="AH646" i="71"/>
  <c r="AH647" i="71"/>
  <c r="AG639" i="71"/>
  <c r="AH640" i="71"/>
  <c r="AG632" i="71"/>
  <c r="AH632" i="71" s="1"/>
  <c r="AH633" i="71"/>
  <c r="AG631" i="71"/>
  <c r="AH631" i="71" s="1"/>
  <c r="AG626" i="71"/>
  <c r="AH626" i="71" s="1"/>
  <c r="AH627" i="71"/>
  <c r="AH628" i="71"/>
  <c r="AG622" i="71"/>
  <c r="AH622" i="71" s="1"/>
  <c r="AH623" i="71"/>
  <c r="AG617" i="71"/>
  <c r="AH617" i="71" s="1"/>
  <c r="AH618" i="71"/>
  <c r="AG616" i="71"/>
  <c r="AH616" i="71" s="1"/>
  <c r="AH611" i="71"/>
  <c r="AH612" i="71"/>
  <c r="AH607" i="71"/>
  <c r="AG601" i="71"/>
  <c r="AH601" i="71" s="1"/>
  <c r="AH602" i="71"/>
  <c r="AH598" i="71"/>
  <c r="AH596" i="71"/>
  <c r="AH597" i="71"/>
  <c r="AG588" i="71"/>
  <c r="AG587" i="71" s="1"/>
  <c r="AH587" i="71" s="1"/>
  <c r="AH589" i="71"/>
  <c r="AG586" i="71"/>
  <c r="AG585" i="71" s="1"/>
  <c r="AH585" i="71" s="1"/>
  <c r="AH582" i="71"/>
  <c r="AG579" i="71"/>
  <c r="AH579" i="71" s="1"/>
  <c r="AH580" i="71"/>
  <c r="AH581" i="71"/>
  <c r="AG574" i="71"/>
  <c r="AG573" i="71" s="1"/>
  <c r="AH573" i="71" s="1"/>
  <c r="AH575" i="71"/>
  <c r="AH576" i="71"/>
  <c r="AG563" i="71"/>
  <c r="AG562" i="71" s="1"/>
  <c r="AH564" i="71"/>
  <c r="AH565" i="71"/>
  <c r="AG557" i="71"/>
  <c r="AH557" i="71" s="1"/>
  <c r="AH558" i="71"/>
  <c r="AG556" i="71"/>
  <c r="AH556" i="71" s="1"/>
  <c r="AG551" i="71"/>
  <c r="AH551" i="71" s="1"/>
  <c r="AH552" i="71"/>
  <c r="AG550" i="71"/>
  <c r="AH550" i="71" s="1"/>
  <c r="AG543" i="71"/>
  <c r="AH543" i="71" s="1"/>
  <c r="AH544" i="71"/>
  <c r="AG542" i="71"/>
  <c r="AH542" i="71" s="1"/>
  <c r="AG530" i="71"/>
  <c r="AG529" i="71" s="1"/>
  <c r="AG528" i="71" s="1"/>
  <c r="AG527" i="71" s="1"/>
  <c r="AH527" i="71" s="1"/>
  <c r="AH531" i="71"/>
  <c r="AG523" i="71"/>
  <c r="AH523" i="71" s="1"/>
  <c r="AH524" i="71"/>
  <c r="AG522" i="71"/>
  <c r="AH522" i="71" s="1"/>
  <c r="AG514" i="71"/>
  <c r="AG513" i="71" s="1"/>
  <c r="AH513" i="71" s="1"/>
  <c r="AH515" i="71"/>
  <c r="AH516" i="71"/>
  <c r="AG509" i="71"/>
  <c r="AG508" i="71" s="1"/>
  <c r="AG507" i="71" s="1"/>
  <c r="AH510" i="71"/>
  <c r="AH511" i="71"/>
  <c r="AG502" i="71"/>
  <c r="AG501" i="71" s="1"/>
  <c r="AH503" i="71"/>
  <c r="AH504" i="71"/>
  <c r="AG494" i="71"/>
  <c r="AH494" i="71" s="1"/>
  <c r="AH495" i="71"/>
  <c r="AG493" i="71"/>
  <c r="AH493" i="71" s="1"/>
  <c r="AG487" i="71"/>
  <c r="AH487" i="71" s="1"/>
  <c r="AH488" i="71"/>
  <c r="AH483" i="71"/>
  <c r="AG471" i="71"/>
  <c r="AG470" i="71" s="1"/>
  <c r="AH472" i="71"/>
  <c r="AG459" i="71"/>
  <c r="AH459" i="71" s="1"/>
  <c r="AH460" i="71"/>
  <c r="AG454" i="71"/>
  <c r="AH454" i="71" s="1"/>
  <c r="AH455" i="71"/>
  <c r="AH456" i="71"/>
  <c r="AG449" i="71"/>
  <c r="AG448" i="71" s="1"/>
  <c r="AH448" i="71" s="1"/>
  <c r="AH450" i="71"/>
  <c r="AG443" i="71"/>
  <c r="AH443" i="71" s="1"/>
  <c r="AH444" i="71"/>
  <c r="AH445" i="71"/>
  <c r="AG439" i="71"/>
  <c r="AH439" i="71" s="1"/>
  <c r="AH440" i="71"/>
  <c r="AG435" i="71"/>
  <c r="AG434" i="71" s="1"/>
  <c r="AG433" i="71" s="1"/>
  <c r="AH436" i="71"/>
  <c r="AG429" i="71"/>
  <c r="AH429" i="71" s="1"/>
  <c r="AH430" i="71"/>
  <c r="AG428" i="71"/>
  <c r="AH428" i="71" s="1"/>
  <c r="AG421" i="71"/>
  <c r="AH421" i="71" s="1"/>
  <c r="AH422" i="71"/>
  <c r="AH423" i="71"/>
  <c r="AG417" i="71"/>
  <c r="AH418" i="71"/>
  <c r="AG411" i="71"/>
  <c r="AH411" i="71" s="1"/>
  <c r="AH412" i="71"/>
  <c r="AH413" i="71"/>
  <c r="AG401" i="71"/>
  <c r="AH401" i="71" s="1"/>
  <c r="AH402" i="71"/>
  <c r="AG396" i="71"/>
  <c r="AH396" i="71" s="1"/>
  <c r="AH397" i="71"/>
  <c r="AH398" i="71"/>
  <c r="AG391" i="71"/>
  <c r="AH391" i="71" s="1"/>
  <c r="AH392" i="71"/>
  <c r="AG390" i="71"/>
  <c r="AH390" i="71" s="1"/>
  <c r="AG384" i="71"/>
  <c r="AG383" i="71" s="1"/>
  <c r="AH385" i="71"/>
  <c r="AH386" i="71"/>
  <c r="AH377" i="71"/>
  <c r="AH376" i="71"/>
  <c r="AH375" i="71"/>
  <c r="AG370" i="71"/>
  <c r="AH370" i="71" s="1"/>
  <c r="AH371" i="71"/>
  <c r="AG360" i="71"/>
  <c r="AH360" i="71" s="1"/>
  <c r="AH361" i="71"/>
  <c r="AH354" i="71"/>
  <c r="AG348" i="71"/>
  <c r="AH348" i="71" s="1"/>
  <c r="AH349" i="71"/>
  <c r="AG343" i="71"/>
  <c r="AH343" i="71" s="1"/>
  <c r="AH344" i="71"/>
  <c r="AG338" i="71"/>
  <c r="AH338" i="71" s="1"/>
  <c r="AH339" i="71"/>
  <c r="AG333" i="71"/>
  <c r="AG332" i="71" s="1"/>
  <c r="AH334" i="71"/>
  <c r="AH335" i="71"/>
  <c r="AG325" i="71"/>
  <c r="AH325" i="71" s="1"/>
  <c r="AH326" i="71"/>
  <c r="AG318" i="71"/>
  <c r="AG317" i="71" s="1"/>
  <c r="AH317" i="71" s="1"/>
  <c r="AH319" i="71"/>
  <c r="AG300" i="71"/>
  <c r="AH300" i="71" s="1"/>
  <c r="AH301" i="71"/>
  <c r="AG293" i="71"/>
  <c r="AH293" i="71" s="1"/>
  <c r="AH294" i="71"/>
  <c r="AG292" i="71"/>
  <c r="AH292" i="71" s="1"/>
  <c r="AG286" i="71"/>
  <c r="AG285" i="71" s="1"/>
  <c r="AH285" i="71" s="1"/>
  <c r="AH287" i="71"/>
  <c r="AG279" i="71"/>
  <c r="AH279" i="71" s="1"/>
  <c r="AH280" i="71"/>
  <c r="AG272" i="71"/>
  <c r="AG271" i="71" s="1"/>
  <c r="AG270" i="71" s="1"/>
  <c r="AH270" i="71" s="1"/>
  <c r="AH273" i="71"/>
  <c r="AH274" i="71"/>
  <c r="AG266" i="71"/>
  <c r="AG265" i="71" s="1"/>
  <c r="AH267" i="71"/>
  <c r="AH268" i="71"/>
  <c r="AG260" i="71"/>
  <c r="AG259" i="71" s="1"/>
  <c r="AG258" i="71" s="1"/>
  <c r="AH261" i="71"/>
  <c r="AH262" i="71"/>
  <c r="AH255" i="71"/>
  <c r="AG253" i="71"/>
  <c r="AG252" i="71" s="1"/>
  <c r="AH252" i="71" s="1"/>
  <c r="AH254" i="71"/>
  <c r="AG247" i="71"/>
  <c r="AH247" i="71" s="1"/>
  <c r="AH248" i="71"/>
  <c r="AG246" i="71"/>
  <c r="AH246" i="71" s="1"/>
  <c r="AG237" i="71"/>
  <c r="AH238" i="71"/>
  <c r="AH233" i="71"/>
  <c r="AH232" i="71"/>
  <c r="AH231" i="71"/>
  <c r="AG222" i="71"/>
  <c r="AH222" i="71" s="1"/>
  <c r="AH223" i="71"/>
  <c r="AG217" i="71"/>
  <c r="AH218" i="71"/>
  <c r="AH219" i="71"/>
  <c r="AH211" i="71"/>
  <c r="AG209" i="71"/>
  <c r="AG199" i="71"/>
  <c r="AH199" i="71" s="1"/>
  <c r="AH200" i="71"/>
  <c r="AG198" i="71"/>
  <c r="AH198" i="71" s="1"/>
  <c r="AG188" i="71"/>
  <c r="AH188" i="71" s="1"/>
  <c r="AH189" i="71"/>
  <c r="AG181" i="71"/>
  <c r="AG175" i="71"/>
  <c r="P91" i="76" s="1"/>
  <c r="Q91" i="76" s="1"/>
  <c r="AH176" i="71"/>
  <c r="AH177" i="71"/>
  <c r="AG161" i="71"/>
  <c r="AG160" i="71" s="1"/>
  <c r="AH162" i="71"/>
  <c r="AG152" i="71"/>
  <c r="AG151" i="71" s="1"/>
  <c r="AG150" i="71" s="1"/>
  <c r="AH150" i="71" s="1"/>
  <c r="AH153" i="71"/>
  <c r="AH148" i="71"/>
  <c r="AG143" i="71"/>
  <c r="AG142" i="71" s="1"/>
  <c r="AG141" i="71" s="1"/>
  <c r="AH141" i="71" s="1"/>
  <c r="AH144" i="71"/>
  <c r="AH145" i="71"/>
  <c r="AG137" i="71"/>
  <c r="AG136" i="71" s="1"/>
  <c r="AG135" i="71" s="1"/>
  <c r="AH135" i="71" s="1"/>
  <c r="AH138" i="71"/>
  <c r="AH139" i="71"/>
  <c r="AG131" i="71"/>
  <c r="AG130" i="71" s="1"/>
  <c r="AH132" i="71"/>
  <c r="AH133" i="71"/>
  <c r="AG124" i="71"/>
  <c r="AG123" i="71" s="1"/>
  <c r="AH123" i="71" s="1"/>
  <c r="AH125" i="71"/>
  <c r="AH126" i="71"/>
  <c r="AG116" i="71"/>
  <c r="AG115" i="71" s="1"/>
  <c r="AH117" i="71"/>
  <c r="AG110" i="71"/>
  <c r="AH110" i="71" s="1"/>
  <c r="AH111" i="71"/>
  <c r="AG109" i="71"/>
  <c r="AH109" i="71" s="1"/>
  <c r="AH97" i="71"/>
  <c r="AG96" i="71"/>
  <c r="AG86" i="71"/>
  <c r="AG85" i="71" s="1"/>
  <c r="AG84" i="71" s="1"/>
  <c r="AH87" i="71"/>
  <c r="AG76" i="71"/>
  <c r="AG75" i="71" s="1"/>
  <c r="AH75" i="71" s="1"/>
  <c r="AH77" i="71"/>
  <c r="AG71" i="71"/>
  <c r="AH71" i="71" s="1"/>
  <c r="AH72" i="71"/>
  <c r="AG56" i="71"/>
  <c r="AG55" i="71" s="1"/>
  <c r="AG54" i="71" s="1"/>
  <c r="AH54" i="71" s="1"/>
  <c r="AH57" i="71"/>
  <c r="AH58" i="71"/>
  <c r="AG49" i="71"/>
  <c r="AG48" i="71" s="1"/>
  <c r="AH48" i="71" s="1"/>
  <c r="AH50" i="71"/>
  <c r="AG43" i="71"/>
  <c r="AG42" i="71" s="1"/>
  <c r="AG41" i="71" s="1"/>
  <c r="AH41" i="71" s="1"/>
  <c r="AH44" i="71"/>
  <c r="AH45" i="71"/>
  <c r="AG37" i="71"/>
  <c r="AG36" i="71" s="1"/>
  <c r="AG35" i="71" s="1"/>
  <c r="AH35" i="71" s="1"/>
  <c r="AH38" i="71"/>
  <c r="AH39" i="71"/>
  <c r="AH32" i="71"/>
  <c r="AH31" i="71"/>
  <c r="AH30" i="71"/>
  <c r="AH29" i="71"/>
  <c r="AG23" i="71"/>
  <c r="AG22" i="71" s="1"/>
  <c r="AH22" i="71" s="1"/>
  <c r="AH24" i="71"/>
  <c r="D45" i="29"/>
  <c r="D84" i="29"/>
  <c r="F68" i="29"/>
  <c r="F70" i="29" s="1"/>
  <c r="AG180" i="71" l="1"/>
  <c r="P97" i="76"/>
  <c r="Q97" i="76" s="1"/>
  <c r="AH182" i="71"/>
  <c r="P98" i="76"/>
  <c r="Q98" i="76" s="1"/>
  <c r="AG324" i="71"/>
  <c r="AH324" i="71" s="1"/>
  <c r="AG70" i="71"/>
  <c r="AH70" i="71" s="1"/>
  <c r="AG278" i="71"/>
  <c r="AH278" i="71" s="1"/>
  <c r="AG359" i="71"/>
  <c r="AH359" i="71" s="1"/>
  <c r="AH435" i="71"/>
  <c r="AG284" i="71"/>
  <c r="AG283" i="71" s="1"/>
  <c r="AH283" i="71" s="1"/>
  <c r="AG316" i="71"/>
  <c r="AG315" i="71" s="1"/>
  <c r="AH315" i="71" s="1"/>
  <c r="AG197" i="71"/>
  <c r="AH197" i="71" s="1"/>
  <c r="AH286" i="71"/>
  <c r="AH588" i="71"/>
  <c r="AG21" i="71"/>
  <c r="AG20" i="71" s="1"/>
  <c r="AG19" i="71" s="1"/>
  <c r="AH19" i="71" s="1"/>
  <c r="AH23" i="71"/>
  <c r="AH36" i="71"/>
  <c r="AG251" i="71"/>
  <c r="AH251" i="71" s="1"/>
  <c r="AH49" i="71"/>
  <c r="AH253" i="71"/>
  <c r="AG47" i="71"/>
  <c r="AH47" i="71" s="1"/>
  <c r="AH161" i="71"/>
  <c r="U170" i="71"/>
  <c r="U169" i="71" s="1"/>
  <c r="AH169" i="71" s="1"/>
  <c r="U543" i="69"/>
  <c r="W543" i="69" s="1"/>
  <c r="AH171" i="71"/>
  <c r="AH271" i="71"/>
  <c r="AG427" i="71"/>
  <c r="AH427" i="71" s="1"/>
  <c r="AH563" i="71"/>
  <c r="AG630" i="71"/>
  <c r="AH630" i="71" s="1"/>
  <c r="AH644" i="71"/>
  <c r="AH131" i="71"/>
  <c r="AG481" i="71"/>
  <c r="AH530" i="71"/>
  <c r="AH482" i="71"/>
  <c r="AH449" i="71"/>
  <c r="AH333" i="71"/>
  <c r="AG299" i="71"/>
  <c r="AH299" i="71" s="1"/>
  <c r="AG245" i="71"/>
  <c r="AH245" i="71" s="1"/>
  <c r="AH42" i="71"/>
  <c r="AG561" i="71"/>
  <c r="AH561" i="71" s="1"/>
  <c r="AH562" i="71"/>
  <c r="AG129" i="71"/>
  <c r="AH129" i="71" s="1"/>
  <c r="AH130" i="71"/>
  <c r="AG108" i="71"/>
  <c r="AH108" i="71" s="1"/>
  <c r="AG187" i="71"/>
  <c r="AG186" i="71" s="1"/>
  <c r="AH136" i="71"/>
  <c r="AH143" i="71"/>
  <c r="AH170" i="71"/>
  <c r="AH318" i="71"/>
  <c r="AH384" i="71"/>
  <c r="AG395" i="71"/>
  <c r="AG389" i="71" s="1"/>
  <c r="AH389" i="71" s="1"/>
  <c r="AH434" i="71"/>
  <c r="AG492" i="71"/>
  <c r="AH502" i="71"/>
  <c r="AH508" i="71"/>
  <c r="AH514" i="71"/>
  <c r="AG521" i="71"/>
  <c r="AH521" i="71" s="1"/>
  <c r="AG549" i="71"/>
  <c r="AG555" i="71"/>
  <c r="AH555" i="71" s="1"/>
  <c r="AG572" i="71"/>
  <c r="AH572" i="71" s="1"/>
  <c r="AH645" i="71"/>
  <c r="AG595" i="71"/>
  <c r="AG216" i="71"/>
  <c r="AH216" i="71" s="1"/>
  <c r="AG638" i="71"/>
  <c r="AH639" i="71"/>
  <c r="AG615" i="71"/>
  <c r="AH615" i="71" s="1"/>
  <c r="AH586" i="71"/>
  <c r="AH574" i="71"/>
  <c r="AG541" i="71"/>
  <c r="AH528" i="71"/>
  <c r="AH529" i="71"/>
  <c r="AG506" i="71"/>
  <c r="AH506" i="71" s="1"/>
  <c r="AH509" i="71"/>
  <c r="AH507" i="71"/>
  <c r="AG500" i="71"/>
  <c r="AH501" i="71"/>
  <c r="AH470" i="71"/>
  <c r="AG469" i="71"/>
  <c r="AH471" i="71"/>
  <c r="AH433" i="71"/>
  <c r="AG416" i="71"/>
  <c r="AH417" i="71"/>
  <c r="AG382" i="71"/>
  <c r="AH383" i="71"/>
  <c r="AG331" i="71"/>
  <c r="AH332" i="71"/>
  <c r="AG291" i="71"/>
  <c r="AH272" i="71"/>
  <c r="AH266" i="71"/>
  <c r="AG264" i="71"/>
  <c r="AH264" i="71" s="1"/>
  <c r="AH265" i="71"/>
  <c r="AH259" i="71"/>
  <c r="AH258" i="71"/>
  <c r="AH260" i="71"/>
  <c r="AG236" i="71"/>
  <c r="AH237" i="71"/>
  <c r="AH217" i="71"/>
  <c r="AG208" i="71"/>
  <c r="AH209" i="71"/>
  <c r="AH180" i="71"/>
  <c r="AH181" i="71"/>
  <c r="AH175" i="71"/>
  <c r="AG159" i="71"/>
  <c r="AH159" i="71" s="1"/>
  <c r="AH160" i="71"/>
  <c r="AH152" i="71"/>
  <c r="AH151" i="71"/>
  <c r="AH142" i="71"/>
  <c r="AH137" i="71"/>
  <c r="AH124" i="71"/>
  <c r="AH116" i="71"/>
  <c r="AG114" i="71"/>
  <c r="AH114" i="71" s="1"/>
  <c r="AH115" i="71"/>
  <c r="AG95" i="71"/>
  <c r="AH96" i="71"/>
  <c r="AH86" i="71"/>
  <c r="AH85" i="71"/>
  <c r="AH84" i="71"/>
  <c r="AH76" i="71"/>
  <c r="AH55" i="71"/>
  <c r="AH56" i="71"/>
  <c r="AH43" i="71"/>
  <c r="AH37" i="71"/>
  <c r="E88" i="29"/>
  <c r="E87" i="29"/>
  <c r="D41" i="29"/>
  <c r="E41" i="29" s="1"/>
  <c r="D34" i="29"/>
  <c r="D33" i="29" s="1"/>
  <c r="D25" i="29"/>
  <c r="D22" i="29"/>
  <c r="D21" i="29"/>
  <c r="D15" i="29"/>
  <c r="E15" i="29" s="1"/>
  <c r="D14" i="29"/>
  <c r="E14" i="29" s="1"/>
  <c r="D24" i="29"/>
  <c r="E24" i="29" s="1"/>
  <c r="D26" i="29"/>
  <c r="D30" i="29"/>
  <c r="E30" i="29" s="1"/>
  <c r="D36" i="29"/>
  <c r="D39" i="29"/>
  <c r="D42" i="29"/>
  <c r="E12" i="29"/>
  <c r="E17" i="29"/>
  <c r="E18" i="29"/>
  <c r="E19" i="29"/>
  <c r="E21" i="29"/>
  <c r="E22" i="29"/>
  <c r="E23" i="29"/>
  <c r="E25" i="29"/>
  <c r="E27" i="29"/>
  <c r="E28" i="29"/>
  <c r="E29" i="29"/>
  <c r="E31" i="29"/>
  <c r="E32" i="29"/>
  <c r="E34" i="29"/>
  <c r="E35" i="29"/>
  <c r="E37" i="29"/>
  <c r="E38" i="29"/>
  <c r="E39" i="29"/>
  <c r="E40" i="29"/>
  <c r="E42" i="29"/>
  <c r="E43" i="29"/>
  <c r="AG179" i="71" l="1"/>
  <c r="P96" i="76"/>
  <c r="Q96" i="76" s="1"/>
  <c r="AH21" i="71"/>
  <c r="AG323" i="71"/>
  <c r="AH323" i="71" s="1"/>
  <c r="AG69" i="71"/>
  <c r="AH69" i="71" s="1"/>
  <c r="AG277" i="71"/>
  <c r="AG276" i="71" s="1"/>
  <c r="AH276" i="71" s="1"/>
  <c r="AG358" i="71"/>
  <c r="AH358" i="71" s="1"/>
  <c r="AH284" i="71"/>
  <c r="AG28" i="71"/>
  <c r="AH316" i="71"/>
  <c r="AG426" i="71"/>
  <c r="AH426" i="71" s="1"/>
  <c r="AH395" i="71"/>
  <c r="AG107" i="71"/>
  <c r="AH107" i="71" s="1"/>
  <c r="AG520" i="71"/>
  <c r="AH520" i="71" s="1"/>
  <c r="AH20" i="71"/>
  <c r="AG322" i="71"/>
  <c r="AH187" i="71"/>
  <c r="AG244" i="71"/>
  <c r="AG571" i="71"/>
  <c r="AH571" i="71" s="1"/>
  <c r="AH549" i="71"/>
  <c r="AG548" i="71"/>
  <c r="AH481" i="71"/>
  <c r="AG480" i="71"/>
  <c r="AH480" i="71" s="1"/>
  <c r="AG298" i="71"/>
  <c r="AH298" i="71" s="1"/>
  <c r="AH28" i="71"/>
  <c r="AG594" i="71"/>
  <c r="AG593" i="71" s="1"/>
  <c r="AH595" i="71"/>
  <c r="AH277" i="71"/>
  <c r="AG257" i="71"/>
  <c r="AH257" i="71" s="1"/>
  <c r="AH492" i="71"/>
  <c r="AG491" i="71"/>
  <c r="AG637" i="71"/>
  <c r="AH638" i="71"/>
  <c r="AH541" i="71"/>
  <c r="AG540" i="71"/>
  <c r="AH540" i="71" s="1"/>
  <c r="AG499" i="71"/>
  <c r="AH500" i="71"/>
  <c r="AH469" i="71"/>
  <c r="AG468" i="71"/>
  <c r="AH468" i="71" s="1"/>
  <c r="AG415" i="71"/>
  <c r="AH415" i="71" s="1"/>
  <c r="AH416" i="71"/>
  <c r="AH331" i="71"/>
  <c r="AH291" i="71"/>
  <c r="AG235" i="71"/>
  <c r="AH235" i="71" s="1"/>
  <c r="AH236" i="71"/>
  <c r="AG207" i="71"/>
  <c r="AH208" i="71"/>
  <c r="AH186" i="71"/>
  <c r="AG185" i="71"/>
  <c r="AH185" i="71" s="1"/>
  <c r="AH95" i="71"/>
  <c r="AG94" i="71"/>
  <c r="D20" i="29"/>
  <c r="E20" i="29" s="1"/>
  <c r="E16" i="29"/>
  <c r="D13" i="29"/>
  <c r="E47" i="29"/>
  <c r="E48" i="29"/>
  <c r="E50" i="29"/>
  <c r="E51" i="29"/>
  <c r="E52" i="29"/>
  <c r="E53" i="29"/>
  <c r="E54" i="29"/>
  <c r="E55" i="29"/>
  <c r="E56" i="29"/>
  <c r="E57" i="29"/>
  <c r="E58" i="29"/>
  <c r="E59" i="29"/>
  <c r="E60" i="29"/>
  <c r="E61" i="29"/>
  <c r="E62" i="29"/>
  <c r="E63" i="29"/>
  <c r="E64" i="29"/>
  <c r="E65" i="29"/>
  <c r="E67" i="29"/>
  <c r="E68" i="29"/>
  <c r="E69" i="29"/>
  <c r="E70" i="29"/>
  <c r="E71" i="29"/>
  <c r="E72" i="29"/>
  <c r="E73" i="29"/>
  <c r="E74" i="29"/>
  <c r="E75" i="29"/>
  <c r="E76" i="29"/>
  <c r="E77" i="29"/>
  <c r="E78" i="29"/>
  <c r="E79" i="29"/>
  <c r="E80" i="29"/>
  <c r="E81" i="29"/>
  <c r="E82" i="29"/>
  <c r="E83" i="29"/>
  <c r="E84" i="29"/>
  <c r="E85" i="29"/>
  <c r="E86" i="29"/>
  <c r="E89" i="29"/>
  <c r="E91" i="29"/>
  <c r="E92" i="29"/>
  <c r="D46" i="29"/>
  <c r="E46" i="29" s="1"/>
  <c r="D49" i="29"/>
  <c r="E49" i="29" s="1"/>
  <c r="D66" i="29"/>
  <c r="E66" i="29" s="1"/>
  <c r="D90" i="29"/>
  <c r="AH179" i="71" l="1"/>
  <c r="P95" i="76"/>
  <c r="Q95" i="76" s="1"/>
  <c r="AG168" i="71"/>
  <c r="AG381" i="71"/>
  <c r="AG290" i="71"/>
  <c r="AH290" i="71" s="1"/>
  <c r="AG519" i="71"/>
  <c r="AH519" i="71" s="1"/>
  <c r="AG330" i="71"/>
  <c r="AH330" i="71" s="1"/>
  <c r="AH322" i="71"/>
  <c r="AG314" i="71"/>
  <c r="AH314" i="71" s="1"/>
  <c r="AH637" i="71"/>
  <c r="AG636" i="71"/>
  <c r="AH636" i="71" s="1"/>
  <c r="AG547" i="71"/>
  <c r="AH547" i="71" s="1"/>
  <c r="AH548" i="71"/>
  <c r="AH491" i="71"/>
  <c r="AG479" i="71"/>
  <c r="AH479" i="71" s="1"/>
  <c r="AH593" i="71"/>
  <c r="AG498" i="71"/>
  <c r="AH498" i="71" s="1"/>
  <c r="AH499" i="71"/>
  <c r="AG329" i="71"/>
  <c r="AH329" i="71" s="1"/>
  <c r="AG206" i="71"/>
  <c r="AH207" i="71"/>
  <c r="AH94" i="71"/>
  <c r="AG83" i="71"/>
  <c r="AG27" i="71" s="1"/>
  <c r="AG18" i="71" s="1"/>
  <c r="AH594" i="71"/>
  <c r="P84" i="76" l="1"/>
  <c r="Q84" i="76" s="1"/>
  <c r="AH168" i="71"/>
  <c r="AG106" i="71"/>
  <c r="AH106" i="71" s="1"/>
  <c r="P22" i="76"/>
  <c r="Q22" i="76" s="1"/>
  <c r="AG243" i="71"/>
  <c r="AG592" i="71"/>
  <c r="AH592" i="71" s="1"/>
  <c r="AH18" i="71"/>
  <c r="AH206" i="71"/>
  <c r="AG205" i="71"/>
  <c r="AG105" i="71"/>
  <c r="AH83" i="71"/>
  <c r="AH27" i="71"/>
  <c r="D44" i="29"/>
  <c r="D94" i="29" s="1"/>
  <c r="AH105" i="71" l="1"/>
  <c r="P21" i="76"/>
  <c r="AH205" i="71"/>
  <c r="AG204" i="71"/>
  <c r="AH204" i="71" s="1"/>
  <c r="P20" i="76" l="1"/>
  <c r="E136" i="78"/>
  <c r="Q21" i="76"/>
  <c r="F46" i="29"/>
  <c r="F47" i="29"/>
  <c r="P19" i="76" l="1"/>
  <c r="R17" i="76" s="1"/>
  <c r="H135" i="78"/>
  <c r="Q20" i="76"/>
  <c r="E135" i="78"/>
  <c r="F135" i="78" s="1"/>
  <c r="F136" i="78"/>
  <c r="K91" i="29"/>
  <c r="K89" i="29"/>
  <c r="I89" i="29"/>
  <c r="H89" i="29"/>
  <c r="G89" i="29"/>
  <c r="F89" i="29"/>
  <c r="K95" i="29"/>
  <c r="K97" i="29" s="1"/>
  <c r="I95" i="29"/>
  <c r="G95" i="29"/>
  <c r="F95" i="29"/>
  <c r="H99" i="29"/>
  <c r="K99" i="29"/>
  <c r="K101" i="29" s="1"/>
  <c r="I99" i="29"/>
  <c r="F99" i="29"/>
  <c r="H137" i="78" l="1"/>
  <c r="Q19" i="76"/>
  <c r="D17" i="57"/>
  <c r="C17" i="57"/>
  <c r="C66" i="29" l="1"/>
  <c r="C49" i="29" l="1"/>
  <c r="D17" i="37" l="1"/>
  <c r="E17" i="37" s="1"/>
  <c r="C17" i="37"/>
  <c r="D17" i="36"/>
  <c r="C17" i="36"/>
  <c r="D16" i="35"/>
  <c r="E16" i="35" s="1"/>
  <c r="C16" i="35"/>
  <c r="D17" i="34"/>
  <c r="C17" i="34"/>
  <c r="D17" i="33"/>
  <c r="C17" i="33"/>
  <c r="C90" i="29"/>
  <c r="E90" i="29" s="1"/>
  <c r="C46" i="29"/>
  <c r="C42" i="29"/>
  <c r="C39" i="29"/>
  <c r="C36" i="29"/>
  <c r="E36" i="29" s="1"/>
  <c r="C33" i="29"/>
  <c r="E33" i="29" s="1"/>
  <c r="C30" i="29"/>
  <c r="C26" i="29"/>
  <c r="E26" i="29" s="1"/>
  <c r="C24" i="29"/>
  <c r="C20" i="29"/>
  <c r="C15" i="29"/>
  <c r="C22" i="27"/>
  <c r="C14" i="27"/>
  <c r="C11" i="27"/>
  <c r="E17" i="33" l="1"/>
  <c r="E17" i="34"/>
  <c r="E17" i="36"/>
  <c r="C45" i="29"/>
  <c r="C26" i="27"/>
  <c r="C13" i="29"/>
  <c r="E13" i="29" s="1"/>
  <c r="C44" i="29" l="1"/>
  <c r="E45" i="29"/>
  <c r="D96" i="29"/>
  <c r="C94" i="29"/>
  <c r="E44" i="29" l="1"/>
  <c r="C95" i="29"/>
  <c r="E94" i="29"/>
  <c r="AH243" i="71" l="1"/>
  <c r="AG242" i="71"/>
  <c r="AH244" i="71" l="1"/>
  <c r="AH242" i="71"/>
  <c r="AH382" i="71"/>
  <c r="AG380" i="71"/>
  <c r="AH380" i="71" s="1"/>
  <c r="AH381" i="71"/>
  <c r="AG657" i="71" l="1"/>
  <c r="S19" i="76" s="1"/>
  <c r="S21" i="76" s="1"/>
  <c r="D20" i="27" l="1"/>
  <c r="X18" i="69"/>
  <c r="AH657" i="71"/>
  <c r="E20" i="27" l="1"/>
  <c r="D19" i="27"/>
  <c r="E19" i="27" s="1"/>
</calcChain>
</file>

<file path=xl/sharedStrings.xml><?xml version="1.0" encoding="utf-8"?>
<sst xmlns="http://schemas.openxmlformats.org/spreadsheetml/2006/main" count="3950" uniqueCount="768">
  <si>
    <t>Наименование</t>
  </si>
  <si>
    <t>РЗ</t>
  </si>
  <si>
    <t>ПР</t>
  </si>
  <si>
    <t>ЦСР</t>
  </si>
  <si>
    <t>ВР</t>
  </si>
  <si>
    <t>ОБРАЗОВАНИЕ</t>
  </si>
  <si>
    <t>Обеспечение деятельности муниципальных учреждений (оказание услуг) - средства местного бюджета</t>
  </si>
  <si>
    <t>Предоставление субсидий государственным (муниципальным) бюджетным, автономным учреждениям и иным некоммерческим организациям</t>
  </si>
  <si>
    <t>600</t>
  </si>
  <si>
    <t>Субсидии бюджетным учреждениям</t>
  </si>
  <si>
    <t>610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</si>
  <si>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</si>
  <si>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611</t>
  </si>
  <si>
    <t>Культура</t>
  </si>
  <si>
    <t>Обеспечение деятельности муниципальных учреждений (оказание услуг) - средства местного бджета</t>
  </si>
  <si>
    <t>Обеспечение деятельности муниципальных учреждений (оказание услуг)</t>
  </si>
  <si>
    <t>Обеспечение деятельности подведомственных учреждений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</si>
  <si>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</si>
  <si>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100</t>
  </si>
  <si>
    <t>Расходы на выплаты персоналу казенных учреждений</t>
  </si>
  <si>
    <t>110</t>
  </si>
  <si>
    <t>111</t>
  </si>
  <si>
    <t>112</t>
  </si>
  <si>
    <t>119</t>
  </si>
  <si>
    <t>200</t>
  </si>
  <si>
    <t>Иные закупки товаров, работ и услуг для государственных (муниципальных) нужд</t>
  </si>
  <si>
    <t>240</t>
  </si>
  <si>
    <t>242</t>
  </si>
  <si>
    <t>244</t>
  </si>
  <si>
    <t>Иные бюджетные ассигнования</t>
  </si>
  <si>
    <t>800</t>
  </si>
  <si>
    <t>850</t>
  </si>
  <si>
    <t>Уплата налога на имущество организаций и земельного налога</t>
  </si>
  <si>
    <t>851</t>
  </si>
  <si>
    <t>852</t>
  </si>
  <si>
    <t>Другие вопросы в области культуры, кинематографии</t>
  </si>
  <si>
    <t>подпрограмма "Обеспечение реализации муниципальной программы и прочие мероприятия в сфере культуры"</t>
  </si>
  <si>
    <t>Расходы на выплаты персоналу государственных (муниципальных) органов</t>
  </si>
  <si>
    <t>120</t>
  </si>
  <si>
    <t>121</t>
  </si>
  <si>
    <t>122</t>
  </si>
  <si>
    <t>129</t>
  </si>
  <si>
    <t>подпрограмма "Развитие мер социальной поддержки отдельным категориям граждан"</t>
  </si>
  <si>
    <t>300</t>
  </si>
  <si>
    <t>310</t>
  </si>
  <si>
    <t>Обеспечение мер социальной поддержки ветеранов труда и тружеников тыла</t>
  </si>
  <si>
    <t>Социальное обеспечение и иные выплаты населению</t>
  </si>
  <si>
    <t>Публичные нормативные социальные выплаты гражданам</t>
  </si>
  <si>
    <t>313</t>
  </si>
  <si>
    <t>Обеспечение равной доступности услуг общественного транспорта на территории Республики Тыва  для отдельных категорий граждан, оказание мер социальной поддержки которым относится к ведению Российской Федерации и Республики Тыва</t>
  </si>
  <si>
    <t>Федеральный Закон от 12 января 1996 года № 8-ФЗ  "О погребении и похоронном деле"</t>
  </si>
  <si>
    <t>Создание условий для реализации муниципальной программы</t>
  </si>
  <si>
    <t>Социальное обеспечение населения</t>
  </si>
  <si>
    <t>подпрограмма "Социальная поддержка семьи и детей"</t>
  </si>
  <si>
    <t>Выплата ежемесячного пособия на ребенка</t>
  </si>
  <si>
    <t>подпрограмма "Обеспечение социальной поддержки граждан на оплату жилого помещения и коммунальных услуг"</t>
  </si>
  <si>
    <t>Предоставление гражданам субсидий на оплату жилого помещения и коммунальных услуг</t>
  </si>
  <si>
    <t>Другие вопросы в области социальной политики</t>
  </si>
  <si>
    <t>Подпрограмма "Обеспечение реализации муниципальной программы и прочие мероприятия"</t>
  </si>
  <si>
    <t>Обеспечение деятельности органов местного самоуправления</t>
  </si>
  <si>
    <t>Выполнение передаваемых государственных полномочий в соответствии с действующим законодательством по расчету предоставления жилищных субсидий гражданам</t>
  </si>
  <si>
    <t>Межбюджетные трансферты</t>
  </si>
  <si>
    <t>Сельское хозяйство и рыболовство</t>
  </si>
  <si>
    <t>Руководство и управление в сфере установленных функций органов государственной власти Республики Тыва</t>
  </si>
  <si>
    <t>Муниципальная программа "Развитие сельского хозяйства"</t>
  </si>
  <si>
    <t>Подпрограмма "Устойчивое развитие сельских территорий"</t>
  </si>
  <si>
    <t>810</t>
  </si>
  <si>
    <t>Подпрограмма "Реализация мероприятий по развитию сельского хозяйства и расшение рынка сельскохозяйственной продукции"</t>
  </si>
  <si>
    <t>Дошкольное образование</t>
  </si>
  <si>
    <t xml:space="preserve">Обеспечение деятельности муниципальных учреждений (оказание услуг) - средства местного бюджета </t>
  </si>
  <si>
    <t xml:space="preserve">Обеспечение деятельности муниципальных тучреждений (оказание услуг) - средства республиканского бюджета </t>
  </si>
  <si>
    <t>Общее образование</t>
  </si>
  <si>
    <t>подпрограмма "Развитие общего образования"</t>
  </si>
  <si>
    <t>Подпрограмма "Отдых и оздоровление детей"</t>
  </si>
  <si>
    <t>Мероприятия по оздоровлению детей</t>
  </si>
  <si>
    <t>Другие вопросы в области образования</t>
  </si>
  <si>
    <t>Компенсация части родительской платы за содержание ребенка в государственных и муниципальных образовательных учреждениях, реализующих основную общеобразовательную программу дошкольного образования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</si>
  <si>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</si>
  <si>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Обеспечение деятельности финансовых, налоговых и таможенных органов и органов финансового (финансово-бюджетного) надзора</t>
  </si>
  <si>
    <t>Функционирование высшего должностного лица субъекта Российской Федерации и муниципального образования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</si>
  <si>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</si>
  <si>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Уплата иных платежей</t>
  </si>
  <si>
    <t>853</t>
  </si>
  <si>
    <t>Резервные средства</t>
  </si>
  <si>
    <t>Резервные фонды</t>
  </si>
  <si>
    <t>Другие общегосударственные вопросы</t>
  </si>
  <si>
    <t xml:space="preserve">Программа "Создание благоприятных условий для ведения бизнеса" </t>
  </si>
  <si>
    <t>Субсидии гражданам на приобретение жилья</t>
  </si>
  <si>
    <t>Реализация мероприятий направленных на создание условий для оказания медицинской помощи населению, профилактика заболеваний и формирование здорового образа жизни</t>
  </si>
  <si>
    <t>Мобилизационная и вневойсковая подготовка</t>
  </si>
  <si>
    <t>Дорожное хозяйство (дорожные фонды)</t>
  </si>
  <si>
    <t>Программа "Содержание и развитие муниципального хозяйства"</t>
  </si>
  <si>
    <t>Строительство, модернизация, ремонт и содержание автомобильных дорог общего пользования, в том числе дорог в поселениях (за исключением дорог федерального значения)</t>
  </si>
  <si>
    <t>Программа "Развитие земельно-имущественных отношений и градостроительства на территории Овюрского кожууна Республики Тыва на 2016 - 2018 годы"</t>
  </si>
  <si>
    <t>Подпрограмма "Развитие землеустройства и градостроительства</t>
  </si>
  <si>
    <t>Мероприятия по подготовке документов территориального планирования</t>
  </si>
  <si>
    <t>Благоустройство</t>
  </si>
  <si>
    <t>Подпрограмма "Благоустройство"</t>
  </si>
  <si>
    <t>Благоустройство территории поселения</t>
  </si>
  <si>
    <t>Другие вопросы в области физической культуры и спорта</t>
  </si>
  <si>
    <t>Мероприятия в области поддержки молодых талантов</t>
  </si>
  <si>
    <t>Периодическая печать и издательства</t>
  </si>
  <si>
    <t>Финансовое управление Администрации Овюрского кожууна Республики Тыва</t>
  </si>
  <si>
    <t>500</t>
  </si>
  <si>
    <t>Субвенции</t>
  </si>
  <si>
    <t>530</t>
  </si>
  <si>
    <t>Дотации на выравнивание бюджетной обеспеченности субъектов Российской Федерации и муниципальных образований</t>
  </si>
  <si>
    <t>Дотации</t>
  </si>
  <si>
    <t>510</t>
  </si>
  <si>
    <t>511</t>
  </si>
  <si>
    <t>Прочие межбюджетные трансферты общего характера</t>
  </si>
  <si>
    <t>Субсидии на долевое финансирование расходов на оплату коммунальных услуг (в отношении расходов по оплате электрической и тепловой энергии, водоснабжения), приобретение котельно-печного топлива для казенных, бюджетных и автономных учреждений (с учетом доставки и услуг поставщика)</t>
  </si>
  <si>
    <t>Субсидии на закупку и доставку угля бюджетным учреждениям, расположенным в труднодоступных местностях с ограниченными сроками завоза грузов</t>
  </si>
  <si>
    <t>Подпрограмма "Молодежная политика Овюрского кожууна"</t>
  </si>
  <si>
    <t>(тыс. рублей)</t>
  </si>
  <si>
    <t>Код</t>
  </si>
  <si>
    <t xml:space="preserve"> 01 02 00 00 00 0000 000</t>
  </si>
  <si>
    <t>Кредиты кредитных организаций в валюте Российской Федерации</t>
  </si>
  <si>
    <t>01 02 00 00 05 0000 710</t>
  </si>
  <si>
    <t>Получение кредитов от кредитных организаций бюджетами муниципальных районов в валюте Российской Федерации</t>
  </si>
  <si>
    <t xml:space="preserve"> 01 03 00 00 00 0000 000</t>
  </si>
  <si>
    <t xml:space="preserve">Бюджетные кредиты от других бюджетов бюджетной системы Российской Федерации </t>
  </si>
  <si>
    <t>Погашение бюджетами муниципальных районов кредитов от других бюджетов бюджетной системы Российской Федерации в валюте Российской Федерации</t>
  </si>
  <si>
    <t>01 05 00 00 00 0000 000</t>
  </si>
  <si>
    <t>Изменение остатков средств на счетах по учету средств бюджета</t>
  </si>
  <si>
    <t>01 06 00 00 00 0000 000</t>
  </si>
  <si>
    <t>Всего</t>
  </si>
  <si>
    <t>к Решению Хурала представителей</t>
  </si>
  <si>
    <t>2</t>
  </si>
  <si>
    <t>1 00 00000 00 0000 000</t>
  </si>
  <si>
    <t>НАЛОГОВЫЕ И НЕНАЛОГОВЫЕ ДОХОДЫ</t>
  </si>
  <si>
    <t>1 03 00000 00 0000 000</t>
  </si>
  <si>
    <t>НАЛОГИ НА СОВОКУПНЫЙ ДОХОД</t>
  </si>
  <si>
    <t>Единый налог на вмененный доход для отдельных видов деятельности</t>
  </si>
  <si>
    <t>Единый сельскохозяйственный налог</t>
  </si>
  <si>
    <t>Налог, взимаемый в связи с применением патентной системы налогообложения</t>
  </si>
  <si>
    <t>НАЛОГИ НА ИМУЩЕСТВО</t>
  </si>
  <si>
    <t>Налог на имущество организаций</t>
  </si>
  <si>
    <t>ГОСУДАРСТВЕННАЯ ПОШЛИНА</t>
  </si>
  <si>
    <t>ДОХОДЫ ОТ ИСПОЛЬЗОВАНИЯ ИМУЩЕСТВА, НАХОДЯЩЕГОСЯ В ГОСУДАРСТВЕННОЙ И МУНИЦИПАЛЬНОЙ СОБСТВЕННОСТИ</t>
  </si>
  <si>
    <t>1 14 00000 00 0000 000</t>
  </si>
  <si>
    <t>ДОХОДЫ ОТ ПРОДАЖИ МАТЕРИАЛЬНЫХ И НЕМАТЕРИАЛЬНЫХ АКТИВОВ</t>
  </si>
  <si>
    <t>ШТРАФЫ, САНКЦИИ, ВОЗМЕЩЕНИЕ УЩЕРБА</t>
  </si>
  <si>
    <t>1 17 00000 00 0000 000</t>
  </si>
  <si>
    <t>ПРОЧИЕ НЕНАЛОГОВЫЕ ДОХОДЫ</t>
  </si>
  <si>
    <t>БЕЗВОЗМЕЗДНЫЕ ПОСТУПЛЕНИЯ</t>
  </si>
  <si>
    <t>Дотации бюджетам муниципальных районов на выравнивание бюджетной обеспеченности</t>
  </si>
  <si>
    <t xml:space="preserve">Субсидии на закупку и доставку угля для казенных, бюджетных и автономных учреждений расположенных в труднодоступных населенных пунктах </t>
  </si>
  <si>
    <t>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</t>
  </si>
  <si>
    <t>РАСПРЕДЕЛЕНИЕ</t>
  </si>
  <si>
    <t>СОЦИАЛЬНАЯ ПОЛИТИКА</t>
  </si>
  <si>
    <t>612</t>
  </si>
  <si>
    <t>Субсидии бюджетным учреждениям на иные цели</t>
  </si>
  <si>
    <t>Субвенции бюджетам муниципальных районов на оплату жилищно-коммунальных услуг отдельным категориям граждан</t>
  </si>
  <si>
    <t>Субвенции бюджетам муниципальных районов на осуществление первичного воинского учета на территориях, где отсутствуют военные комиссариаты</t>
  </si>
  <si>
    <t>Муниципальная программа "Социальная поддержка граждан в Овюрском кожууне"</t>
  </si>
  <si>
    <t>Программа "Развитие муниципальной службы муниципального района "Овюрский кожуун"Республики Тыва на 2018-2020 гг"</t>
  </si>
  <si>
    <t>Субсидии бюджетам бюджетной системы Российской Федерации (межбюджетные субсидии)</t>
  </si>
  <si>
    <t>Субсидии бюджетам муниципальных районов на создание в общеобразовательных организациях, расположенных в сельской местности, условий для занятий физической культурой и спортом</t>
  </si>
  <si>
    <t>Субвенции бюджетам бюджетной системы Российской Федерации</t>
  </si>
  <si>
    <t>Иные межбюджетные трансферты</t>
  </si>
  <si>
    <t>540</t>
  </si>
  <si>
    <t>создание в общеобразовательных организациях, расположенных в сельской местности, условий для занятия физической культурой и спортом в рамках государственной программы Российской Федерации "Развитие образования" на 2013-2020 годы за счет ФБ</t>
  </si>
  <si>
    <t xml:space="preserve">Приложение 1 </t>
  </si>
  <si>
    <t xml:space="preserve">Сумма                     </t>
  </si>
  <si>
    <t>Иные источники внутреннего финансирования дефицита бюджета</t>
  </si>
  <si>
    <t>2020 год</t>
  </si>
  <si>
    <t>муниципального района "Овюрский кожуун Республики Тыва"</t>
  </si>
  <si>
    <t xml:space="preserve">"О  бюджете муниципального района "Овюрский кожуун" Республики Тыва </t>
  </si>
  <si>
    <t>01 02 00 00 05 0000 810</t>
  </si>
  <si>
    <t>Погашение бюджетами муниципальных районов кредитов от кредитных организаций в валюте Российской Федерации</t>
  </si>
  <si>
    <t>01 03 01 00 05 0000 710</t>
  </si>
  <si>
    <t>Получение кредитов от других бюджетов бюджетной системы Российской Федерации бюджетами муниципальных районов в валюте Российской Федерации</t>
  </si>
  <si>
    <t>Получение кредитов от других бюджетов бюджетной системы Российской Федерации бюджетами муниципальных районов в валюте Российской Федерации (на пополнение остатков средств на счетах кожуунного бюджета Республики Тыва)</t>
  </si>
  <si>
    <t>01 03 01 00 05 0000 810</t>
  </si>
  <si>
    <t>Погашение бюджетами муниципальных районов кредитов от других бюджетов бюджетной системы Российской Федерации в валюте Российской Федерации (на пополнение остатков средств на счетах кожуунного бюджета Республики Тыва)</t>
  </si>
  <si>
    <t>01 05 02 01 05 0000 610</t>
  </si>
  <si>
    <t>Уменьшение прочих остатков денежных средств бюджетов муниципальных районов</t>
  </si>
  <si>
    <t>01 06 05 02 05 0000 640</t>
  </si>
  <si>
    <t>Возврат бюджетных кредитов, предоставленных другим бюджетам бюджетной системы Российской Федерации из бюджетов муниципальных районов в валюте Российской Федерации</t>
  </si>
  <si>
    <t>01 06 05 02 05 0000 540</t>
  </si>
  <si>
    <t>Предоставление бюджетных кредитов другим бюджетам бюджетной системы Российской Федерации из бюджетов муниципальных районов в валюте Российской Федерации</t>
  </si>
  <si>
    <t>* 05 - бюджет муниципального района</t>
  </si>
  <si>
    <t>* 04 - бюджет городского округа</t>
  </si>
  <si>
    <t xml:space="preserve">ПОСТУПЛЕНИЯ ДОХОДОВ В БЮДЖЕТ МУНИЦИПАЛЬНОГО РАЙОНА </t>
  </si>
  <si>
    <t xml:space="preserve">Коды бюджетной классификации  </t>
  </si>
  <si>
    <t xml:space="preserve">      Наименование доходов </t>
  </si>
  <si>
    <t>1  01 02000 01 0000 110</t>
  </si>
  <si>
    <t>НАЛОГ НА ДОХОДЫ ФИЗИЧЕСКИХ ЛИЦ</t>
  </si>
  <si>
    <t>НАЛОГИ НА ТОВАРЫ (РАБОТЫ,  УСЛУГИ), РЕАЛИЗУЕМЫЕ НА ТЕРРИТОРИИ РОССИЙСКОЙ ФЕДЕРАЦИИ</t>
  </si>
  <si>
    <t>10302230010000110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</si>
  <si>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</si>
  <si>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10302240010000110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</si>
  <si>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</si>
  <si>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10302250010000110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</si>
  <si>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</si>
  <si>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10302260010000110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</si>
  <si>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</si>
  <si>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1 05 00000 00 0000 000</t>
  </si>
  <si>
    <t>10502000020000110</t>
  </si>
  <si>
    <t>10503000010000110</t>
  </si>
  <si>
    <t>10504000020000110</t>
  </si>
  <si>
    <t>10600000000000000</t>
  </si>
  <si>
    <t>10602000020000110</t>
  </si>
  <si>
    <t>1 07 00000 00 0000 000</t>
  </si>
  <si>
    <t>НАЛОГИ, СБОРЫ И РЕГУЛЯРНЫЕ ПЛАТЕЖИ ЗА ПОЛЬЗОВАНИЕ ПРИРОДНЫМИ РЕСУРСАМИ</t>
  </si>
  <si>
    <t>1 07 01000 01 0000 110</t>
  </si>
  <si>
    <t>Налог на добычу полезных ископаемых</t>
  </si>
  <si>
    <t xml:space="preserve"> 1 07 04000 01 0000 110</t>
  </si>
  <si>
    <t xml:space="preserve">Сборы за пользование объектами животного мира и за пользование объектами водных биологических ресурсов </t>
  </si>
  <si>
    <t>10800000000000000</t>
  </si>
  <si>
    <t xml:space="preserve"> 1 11 00000 00 0000 000</t>
  </si>
  <si>
    <t xml:space="preserve"> 1 12 00000 00 0000 000</t>
  </si>
  <si>
    <t xml:space="preserve">ПЛАТЕЖИ ПРИ ПОЛЬЗОВАНИИ ПРИРОДНЫМИ РЕСУРСАМИ </t>
  </si>
  <si>
    <t>1 12 01010 01 0000 120</t>
  </si>
  <si>
    <t>Плата за выбросы загрязняющих веществ в атмосферный воздух стационарными объектами</t>
  </si>
  <si>
    <t>1 12 01041 01 0000 120</t>
  </si>
  <si>
    <t>Плата за размещение отходов производства</t>
  </si>
  <si>
    <t xml:space="preserve"> 1 13 00000 00 0000 000</t>
  </si>
  <si>
    <r>
      <t xml:space="preserve">ДОХОДЫ ОТ ОКАЗАНИЯ ПЛАТНЫХ УСЛУГ </t>
    </r>
    <r>
      <rPr>
        <b/>
        <sz val="11"/>
        <color indexed="8"/>
        <rFont val="Times New Roman"/>
        <family val="1"/>
        <charset val="204"/>
      </rPr>
      <t xml:space="preserve"> И КОМПЕНСАЦИИ ЗАТРАТ ГОСУДАРСТВА</t>
    </r>
  </si>
  <si>
    <t>1 13 01995 10 0000 130</t>
  </si>
  <si>
    <t>Прочие доходы от оказания платных услуг (работ) получателями средств бюджетов сельских поселений</t>
  </si>
  <si>
    <t>1 13 02995 05 0000 130</t>
  </si>
  <si>
    <t>Прочие доходы от компенсации затрат бюджетов муниципальных районов</t>
  </si>
  <si>
    <t>Доходы от продажи земельных участков, находящихся в государственной и муниципальной собственности</t>
  </si>
  <si>
    <t xml:space="preserve"> 1 16 00000 00 0000 000</t>
  </si>
  <si>
    <t>1 17 05050 05 0000 180</t>
  </si>
  <si>
    <t>Прочие неналоговые доходы бюджетов муниципальных районов</t>
  </si>
  <si>
    <t>2 00 00000 00 0000 000</t>
  </si>
  <si>
    <t>2 02 00000 00 0000 000</t>
  </si>
  <si>
    <t>Безвозмездные поступления от других бюджетов бюджетной системы Российской Федерации</t>
  </si>
  <si>
    <t>2 02 10000 00 0000 150</t>
  </si>
  <si>
    <t>Дотации бюджетам бюджетной системы Российской Федераци</t>
  </si>
  <si>
    <t>2 02 15001 05 0000 150</t>
  </si>
  <si>
    <t>2 02 15002 05 0000 150</t>
  </si>
  <si>
    <t>Дотации бюджетам муниципальных районов на поддержку мер по обеспечению сбалансированности бюджетов</t>
  </si>
  <si>
    <t>2 02 20000 00 0000 150</t>
  </si>
  <si>
    <t>2 02 25097 05 0000 150</t>
  </si>
  <si>
    <t>2 02 25497 05 0000 150</t>
  </si>
  <si>
    <t>Субсидии бюджетам муниципальных районов на реализацию мероприятий по обеспечению жильем молодых семей</t>
  </si>
  <si>
    <t>2 02 25515 05 0000 150</t>
  </si>
  <si>
    <t>Субсидии бюджетам муниципальных районов на поддержку экономического и социального развития коренных малочисленных народов Севера, Сибири и Дальнего Востока</t>
  </si>
  <si>
    <t>2 02 25516 05 0000 150</t>
  </si>
  <si>
    <t>Субсидии бюджетам муниципальных районов на реализацию мероприятий по укреплению единства российской нации и этнокультурному развитию народов России</t>
  </si>
  <si>
    <t>2 02 25519 05 0000 150</t>
  </si>
  <si>
    <t>Субсидия бюджетам муниципальных районов на поддержку отрасли культуры</t>
  </si>
  <si>
    <t>2 02 25555 05 0000 150</t>
  </si>
  <si>
    <t>Субсидии бюджетам муниципальных районов на поддержку государственных программ субъектов Российской Федерации и муниципальных программ формирования современной городской среды</t>
  </si>
  <si>
    <t>2 02 25560 05 0000 150</t>
  </si>
  <si>
    <t>Субсидии бюджетам муниципальных районов на поддержку обустройства мест массового отдыха населения (городских парков)</t>
  </si>
  <si>
    <t>2 02 25567 05 0000 150</t>
  </si>
  <si>
    <t>Субсидии бюджетам муниципальных районов на реализацию мероприятий по устойчивому развитию сельских территорий</t>
  </si>
  <si>
    <t>2 02 29999 05 0000 150</t>
  </si>
  <si>
    <t>Прочие субсидии бюджетам муниципальных районов</t>
  </si>
  <si>
    <t>2 02 30000 00 0000 150</t>
  </si>
  <si>
    <t>2 02 30022 05 0000 150</t>
  </si>
  <si>
    <t>2 02 30013 05 0000 150</t>
  </si>
  <si>
    <t>Субвенции бюджетам муниципальных районов на обеспечение мер социальной поддержки реабилитированных лиц и лиц, признанных пострадавшими от политических репрессий</t>
  </si>
  <si>
    <t>2 02 35118 05 0000 150</t>
  </si>
  <si>
    <t>2 02 35120 05 0000 150</t>
  </si>
  <si>
    <t xml:space="preserve">Субвенции бюджетам муниципальных районов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
</t>
  </si>
  <si>
    <t>Субвенции бюджетам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</si>
  <si>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>2 02 35250 05 0000 150</t>
  </si>
  <si>
    <t>2 02 35380 05 0000 150</t>
  </si>
  <si>
    <t>Субвенции бюджетам муниципальных районов на выплату государственных пособий лицам, не подлежащим обязательному социальному страхованию на случай временной нетрудоспособности и в связи с материнством, и лицам, уволенным в связи с ликвидацией организаций (прекращением деятельности, полномочий физическими лицами)</t>
  </si>
  <si>
    <t>2 02 35462 05 0000 150</t>
  </si>
  <si>
    <t>Субвенции бюджетам муниципальных районов на компенсацию отдельным категориям граждан оплаты взноса на капитальный ремонт общего имущества в многоквартирном доме</t>
  </si>
  <si>
    <t>2 02 35573 05 0000 150</t>
  </si>
  <si>
    <t>2 02 40000 00 0000 150</t>
  </si>
  <si>
    <t>2 02 40014 05 0000 150</t>
  </si>
  <si>
    <t>2 02 45390 02 0000 151</t>
  </si>
  <si>
    <t>Межбюджетные трансферты, передаваемые бюджетам на финансовое обеспечение дорожной деятельности</t>
  </si>
  <si>
    <t xml:space="preserve">ИТОГО ДОХОДОВ </t>
  </si>
  <si>
    <t xml:space="preserve">                 "О  бюджете муниципального района "Овюрский кожуун" Республики Тыва </t>
  </si>
  <si>
    <t>№ п/п</t>
  </si>
  <si>
    <t>1.</t>
  </si>
  <si>
    <t>муниципальногорайона "Овюрский кожуун  Республики Тыва"</t>
  </si>
  <si>
    <t>Наименование поселения</t>
  </si>
  <si>
    <t>Солчур</t>
  </si>
  <si>
    <t>Саглы</t>
  </si>
  <si>
    <t>3</t>
  </si>
  <si>
    <t>Дус-Даг</t>
  </si>
  <si>
    <t>4</t>
  </si>
  <si>
    <t>Чаа-Суур</t>
  </si>
  <si>
    <t>5</t>
  </si>
  <si>
    <t>Сарыг-Холь</t>
  </si>
  <si>
    <t xml:space="preserve">ИТОГО </t>
  </si>
  <si>
    <t>муниципального района "Овюрский кожуун  Республики Тыва"</t>
  </si>
  <si>
    <t>2 02 30024 05 0000 150</t>
  </si>
  <si>
    <t>Субвенции на реализацию Закона Республики Тыва "О предоставлении субвенций  местным бюджетам на обеспечение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организациях, общедоступного и бесплатного дошкольного, начального общего, основного общего, среднего общего образования в муниципальных общеобразовательных организациях, обеспечение дополнительного образования детей в муниципальных общеобразовательных организациях, обеспечение дополнительного образования детей в муниципальных общеобразовательных организациях"</t>
  </si>
  <si>
    <t>Субвенции на осуществление государственных полномочий по установлению запрета на розничную продажу алкогольной продукции в Республике Тыва</t>
  </si>
  <si>
    <t>Субвенции на реализацию Закона Республики Тыва "О мерах социальной поддержки ветеранов труда и труженников тыла"</t>
  </si>
  <si>
    <t>Субвенции на реализацию полномочий по назначению и выплате ежемесячного пособия на ребенка</t>
  </si>
  <si>
    <t>Субвенции на реализацию Закона Республики Тыва "О наделении органов местного самоуправления муниципальных районов отдельными государственными полномочиями по расчету и предоставлению дотаций поселениям Республики Тыва за счет средств республиканского бюджета Республики Тыва"</t>
  </si>
  <si>
    <t xml:space="preserve">Субвенция на обеспечение выполнения передаваемых государственных полномочий в соответствии с действующим законодательством по расчету предоставления гражданам субсидий на оплату жилого помещения и коммунальных услуг </t>
  </si>
  <si>
    <t xml:space="preserve">Субвенции на обеспечение равной доступности услуг общественного транспорта  для отдельных категорий граждан </t>
  </si>
  <si>
    <t xml:space="preserve">Субвенции на осуществление переданных полномочий по образованию и организации деятельности комиссий по делам несовершеннолетних </t>
  </si>
  <si>
    <t xml:space="preserve">Субвенции на осуществление государственных полномочий по созданию, организации и обеспечению деятельности административных комиссий </t>
  </si>
  <si>
    <t xml:space="preserve">Субвенции на реализацию Закона Республики Тыва «О погребении и похоронном деле в Республике Тыва» </t>
  </si>
  <si>
    <t xml:space="preserve">Субвенции на компенсацию расходов на оплату жилых помещений, отопления и освещения педагогическим работникам, проживающими и работающим в сельской местности </t>
  </si>
  <si>
    <t>Субвенции на оплату части затрат на транспортировку угля граждан, проживающих в труднодоступных населенных пунктах</t>
  </si>
  <si>
    <t>Подпрограмма "Обеспечение организаций жилищно-коммунального хозяйства специализированной техникой"</t>
  </si>
  <si>
    <t>Обеспечение проведения выборов и референдумов</t>
  </si>
  <si>
    <t>Специальные расходы</t>
  </si>
  <si>
    <t>880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</si>
  <si>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муниципальных районов (за исключением земельных участков муниципальных бюджетных и автономных учреждений)</t>
  </si>
  <si>
    <t>Прочие поступления от использования имущества, в собственности муниципальных районов (за исключением имущества муниципальных бюджетных и автономных учреждений, а также имущества муницпальных унитарных приедприятий, в том числе казенных)</t>
  </si>
  <si>
    <t>111 05010 00 0000 120</t>
  </si>
  <si>
    <t>111 09000 00 0000 120</t>
  </si>
  <si>
    <t xml:space="preserve"> </t>
  </si>
  <si>
    <t>Субвенции бюджетам муниципальных районов на предоставление гражданам субсидий на оплату жилого помещения и коммунальных услуг</t>
  </si>
  <si>
    <t>Приложение 9</t>
  </si>
  <si>
    <t>Приложение 13</t>
  </si>
  <si>
    <t>в том числе:</t>
  </si>
  <si>
    <t>Финансовый орган: Финансовое управление Администрации Овюрского кожууна Республики Тыва</t>
  </si>
  <si>
    <t xml:space="preserve">Единица измерения:  тыс руб </t>
  </si>
  <si>
    <t>КФСР1</t>
  </si>
  <si>
    <t>КФСР2</t>
  </si>
  <si>
    <t>КВР</t>
  </si>
  <si>
    <t>КЭСР1</t>
  </si>
  <si>
    <t>КЭСР2</t>
  </si>
  <si>
    <t>операции сектора государст-венного управления</t>
  </si>
  <si>
    <t>на 2012</t>
  </si>
  <si>
    <t>на 2013</t>
  </si>
  <si>
    <t>Бюджетные средства</t>
  </si>
  <si>
    <t>За счет доходов от оказания платных услуг</t>
  </si>
  <si>
    <t>ПОФ</t>
  </si>
  <si>
    <t>Расход</t>
  </si>
  <si>
    <t>ОБЩЕГОСУДАРСТВЕННЫЕ ВОПРОСЫ</t>
  </si>
  <si>
    <t>Функционирование Главы муниципального райлна, высшего должностного лица муниципального образования, его заместителей, местных администраций</t>
  </si>
  <si>
    <t>7800000000</t>
  </si>
  <si>
    <t>Обеспечение функционирования Главы муниципального района</t>
  </si>
  <si>
    <t>7800000111</t>
  </si>
  <si>
    <t>Фонд оплаты труда государственных (муниципальных) органов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</si>
  <si>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</si>
  <si>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Функционирование представительного органа муниципального района Республики Тыва </t>
  </si>
  <si>
    <t>7900000000</t>
  </si>
  <si>
    <t>Обеспечение функционирования председателя представительного органа муниципального образования</t>
  </si>
  <si>
    <t>7900000111</t>
  </si>
  <si>
    <t>Обеспечение функционирования депутатов представительного органа муниципального района</t>
  </si>
  <si>
    <t>7900000112</t>
  </si>
  <si>
    <t>Обеспечение деятельности представительного органа местного самоуправления  (Расходы на выплаты персоналу в целях обеспечения выполнения функций муниципальными органами)</t>
  </si>
  <si>
    <t>7900000113</t>
  </si>
  <si>
    <t>Обеспечение деятельности представительного органа местного самоуправления (Закупка товаров, работ и услуг для обеспечения муниципальных нужд)</t>
  </si>
  <si>
    <t>7900000191</t>
  </si>
  <si>
    <t>Закупка товаров, работ и услуг для обеспечения государственных (муниципальных) нужд</t>
  </si>
  <si>
    <t>Иные закупки товаров, работ и услуг для обеспечения государственных (муниципальных) нужд</t>
  </si>
  <si>
    <t>Закупка товаров, работ, услуг в сфере информационно-коммуникационных технологий</t>
  </si>
  <si>
    <t>Прочая закупка товаров, работ и услуг</t>
  </si>
  <si>
    <t>Уплата налогов, сборов и иных платежей</t>
  </si>
  <si>
    <t>Уплата прочих налогов, сборов</t>
  </si>
  <si>
    <t>Иные выплаты персоналу государственных (муниципальных) органов, за исключением фонда оплаты труда</t>
  </si>
  <si>
    <t>Обеспечение функционирования высшего должностного лица муниципального района</t>
  </si>
  <si>
    <t>7800000112</t>
  </si>
  <si>
    <t>Обеспечение функционирования местной администрации (Закупка товаров, работ и услуг для обеспечения муниципальных нужд)</t>
  </si>
  <si>
    <t>7800000194</t>
  </si>
  <si>
    <t>Судебная система</t>
  </si>
  <si>
    <t>Непрограммные расходы на реализацию переданных полномочий Российской Федерации и субъекта Российской Федерации</t>
  </si>
  <si>
    <t>9900000000</t>
  </si>
  <si>
    <t>Субвенции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</si>
  <si>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9900051200</t>
  </si>
  <si>
    <t>8900000000</t>
  </si>
  <si>
    <t>Обеспечение деятельности органов местного самоуправления  (Расходы на выплаты персоналу в целях обеспечения выполнения функций муниципальными органами)</t>
  </si>
  <si>
    <t>8900000110</t>
  </si>
  <si>
    <t>8900000190</t>
  </si>
  <si>
    <t>Обеспечение деятельности органов местного самоуправления (Иные выплаты персоналу муниципальных органов, за исключением фонда оплаты труда)</t>
  </si>
  <si>
    <t>8900000870</t>
  </si>
  <si>
    <t>Обеспечение деятельности органов местного самоуправления, осуществляющих функции финансового (финансово-бюджетного) надзора (контроля)</t>
  </si>
  <si>
    <t>9300000000</t>
  </si>
  <si>
    <t>Функционирование контрольно-счетных органов (Расходы на выплаты персоналу в целях обеспечения выполнения функций муниципальными органами)</t>
  </si>
  <si>
    <t>9300000110</t>
  </si>
  <si>
    <t>Функционирование контрольно-счетных органов (Расходы на выплаты персоналу в целях обеспечения выполнения функций муниципальными органами ИНСПЕКТОР)</t>
  </si>
  <si>
    <t>9300000120</t>
  </si>
  <si>
    <t>Функционирование контрольно-счетных органов (Закупка товаров, работ и услуг для обеспечения муниципальных нужд)</t>
  </si>
  <si>
    <t>9300000190</t>
  </si>
  <si>
    <t>Обеспечение проведения выборов и референдумов в муниципальном районе</t>
  </si>
  <si>
    <t>9400000000</t>
  </si>
  <si>
    <t>Обеспечение проведения выборов местного самоуправления</t>
  </si>
  <si>
    <t>9400099990</t>
  </si>
  <si>
    <t>Непрограммные расходы по предоставлению межбюджетных трансфертов и резервные фонды</t>
  </si>
  <si>
    <t>9700000000</t>
  </si>
  <si>
    <t>Резервный фонд администрации Овюрского кожууна</t>
  </si>
  <si>
    <t>9700004000</t>
  </si>
  <si>
    <t>870</t>
  </si>
  <si>
    <t>Муниципальная программа "Безопасность Овюрского кожууна на 2016-2018 годы"</t>
  </si>
  <si>
    <t>0200000000</t>
  </si>
  <si>
    <t>подпрограмма "Профилактика правонарушений"</t>
  </si>
  <si>
    <t>0220000000</t>
  </si>
  <si>
    <t>Основное мероприятие: "Осуществление отдельных государственных полномочий по профилактике безнадзорности и правонарушений несовершеннолетних"</t>
  </si>
  <si>
    <t>0220104016</t>
  </si>
  <si>
    <t>Муниципальная программа "Профилактика социально-значимых заболеваний, вакцинопрофилактика в Овюрском кожууне на 2016-2018 годы"</t>
  </si>
  <si>
    <t>0600000000</t>
  </si>
  <si>
    <t>0600104008</t>
  </si>
  <si>
    <t>Обеспечение хозяйственного обслуживания в целях функционирования органов местного самоуправления</t>
  </si>
  <si>
    <t>7800000114</t>
  </si>
  <si>
    <t>Обеспечение хозяйственного обслуживания в целях функционированияорганов местного самоуправления</t>
  </si>
  <si>
    <t>8900000140</t>
  </si>
  <si>
    <t>Осуществление государственных полномочий по установлению запрета на розничную продажу алкогольной продукции в Республике Тыва</t>
  </si>
  <si>
    <t>9900076050</t>
  </si>
  <si>
    <t>Осуществление государственных полномочий по созданию, организации и обеспечению деятельности административных комиссий</t>
  </si>
  <si>
    <t>9900076130</t>
  </si>
  <si>
    <t>НАЦИОНАЛЬНАЯ ОБОРОНА</t>
  </si>
  <si>
    <t>Субвенции на осуществление первичного воинского учета на территориях, где отсутствуют военные комиссариаты</t>
  </si>
  <si>
    <t>9900051180</t>
  </si>
  <si>
    <t>Фонд оплаты труда учреждений</t>
  </si>
  <si>
    <t>Иные выплаты персоналу учреждений, за исключением фонда оплаты труда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</si>
  <si>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</si>
  <si>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>НАЦИОНАЛЬНАЯ БЕЗОПАСНОСТЬ И ПРАВООХРАНИТЕЛЬНАЯ ДЕЯТЕЛЬНОСТЬ</t>
  </si>
  <si>
    <t>Защита населения и территории от чрезвычайных ситуаций природного и техногенного характера, гражданская оборона</t>
  </si>
  <si>
    <t>Обеспечение деятельности единой дежурной диспетчерской службы (ЕДДС)</t>
  </si>
  <si>
    <t>9500000000</t>
  </si>
  <si>
    <t>Расходы на выплаты по оплате труда работников</t>
  </si>
  <si>
    <t>9500000110</t>
  </si>
  <si>
    <t xml:space="preserve">Расходы на обеспечение функций </t>
  </si>
  <si>
    <t>9500000190</t>
  </si>
  <si>
    <t>НАЦИОНАЛЬНАЯ ЭКОНОМИКА</t>
  </si>
  <si>
    <t>0400000000</t>
  </si>
  <si>
    <t>0420000000</t>
  </si>
  <si>
    <t>Поддержка предприятий</t>
  </si>
  <si>
    <t>0420170060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</si>
  <si>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</si>
  <si>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0300000000</t>
  </si>
  <si>
    <t>0320000000</t>
  </si>
  <si>
    <t>0320107505</t>
  </si>
  <si>
    <t>Другие вопросы в области национальной экономики</t>
  </si>
  <si>
    <t>1000000000</t>
  </si>
  <si>
    <t>1010000000</t>
  </si>
  <si>
    <t>1010175030</t>
  </si>
  <si>
    <t>ЖИЛИЩНО-КОММУНАЛЬНОЕ ХОЗЯЙСТВО</t>
  </si>
  <si>
    <t>0310000000</t>
  </si>
  <si>
    <t>0310107011</t>
  </si>
  <si>
    <t xml:space="preserve">Муниципальная программа "Развитие образования Овюрского кожууна </t>
  </si>
  <si>
    <t>0700000000</t>
  </si>
  <si>
    <t>подпрограмма "Развитие дошкольного образования"</t>
  </si>
  <si>
    <t>0710000000</t>
  </si>
  <si>
    <t>0710100059</t>
  </si>
  <si>
    <t>Предоставление субсидий бюджетным, автономным учреждениям и иным некоммерческим организациям</t>
  </si>
  <si>
    <t>0710276020</t>
  </si>
  <si>
    <t>0720000000</t>
  </si>
  <si>
    <t>0720100059</t>
  </si>
  <si>
    <t>0720276020</t>
  </si>
  <si>
    <t>Дополнительное образование детей</t>
  </si>
  <si>
    <t>подпрограмма "Развитие дополнительного образования"</t>
  </si>
  <si>
    <t>0730000000</t>
  </si>
  <si>
    <t>0730100059</t>
  </si>
  <si>
    <t>1100000000</t>
  </si>
  <si>
    <t>1100200020</t>
  </si>
  <si>
    <t>Молодежная политика</t>
  </si>
  <si>
    <t>0740000000</t>
  </si>
  <si>
    <t>0740175040</t>
  </si>
  <si>
    <t>подпрограмма "Обеспечение реализации муниципальной программы и прочие мероприятия в сфере образования"</t>
  </si>
  <si>
    <t>0760000000</t>
  </si>
  <si>
    <t>0760120419</t>
  </si>
  <si>
    <t>0760200019</t>
  </si>
  <si>
    <t>Осуществление государственных полномочий по образованию и организации деятельности комиссий по делам несовершеннолетних</t>
  </si>
  <si>
    <t>9900076100</t>
  </si>
  <si>
    <t>КУЛЬТУРА, КИНЕМАТОГРАФИЯ</t>
  </si>
  <si>
    <t>Муниципальная программа "Развитие культуры Овюрского кожууна</t>
  </si>
  <si>
    <t>0800000000</t>
  </si>
  <si>
    <t>подпрограмма "Библиотечное обслуживание населения"</t>
  </si>
  <si>
    <t>0810000000</t>
  </si>
  <si>
    <t>0810100059</t>
  </si>
  <si>
    <t>подпрограмма "Организация досуга и предоставление услуг организаций культуры"</t>
  </si>
  <si>
    <t>0820000000</t>
  </si>
  <si>
    <t>0820100059</t>
  </si>
  <si>
    <t>0820299190</t>
  </si>
  <si>
    <t>Льготы сельским специалистам по жилищно-коммунальным услугам</t>
  </si>
  <si>
    <t>9900076040</t>
  </si>
  <si>
    <t>0830000000</t>
  </si>
  <si>
    <t>Разработка нормативно-правовых, методических и иных документов, направленных на эффективное решение задач</t>
  </si>
  <si>
    <t>0830120419</t>
  </si>
  <si>
    <t xml:space="preserve">Обеспечение организационных, информационных и методических условий </t>
  </si>
  <si>
    <t>0830200019</t>
  </si>
  <si>
    <t>0100000000</t>
  </si>
  <si>
    <t>0110000000</t>
  </si>
  <si>
    <t>0110076100</t>
  </si>
  <si>
    <t>Пособия, компенсации, меры социальной поддержки по публичным нормативным обязательствам</t>
  </si>
  <si>
    <t>0110176060</t>
  </si>
  <si>
    <t>0110376110</t>
  </si>
  <si>
    <t>0110476120</t>
  </si>
  <si>
    <t>0110607020</t>
  </si>
  <si>
    <t>0120000000</t>
  </si>
  <si>
    <t>0120176070</t>
  </si>
  <si>
    <t>Субвенции на выплату государственных пособий лицам, не подлежащим обязательному социальному страхованию на случай временной нетрудоспособности и в связи с материнством, и лицам, уволенным в связи с ликвидацией организаций (прекращением деятельности, полномочий физическими лицами), в соответствии с Федеральным законом от 19 мая 1995 года № 81-ФЗ "О государственных пособиях гражданам, имеющим детей"</t>
  </si>
  <si>
    <t>0120253800</t>
  </si>
  <si>
    <t>0130000000</t>
  </si>
  <si>
    <t>Субвенции на оплату жилищно-коммунальных услуг отдельным категориям граждан</t>
  </si>
  <si>
    <t>0130152500</t>
  </si>
  <si>
    <t>0130276030</t>
  </si>
  <si>
    <t>0410000000</t>
  </si>
  <si>
    <t>Расходы на обеспечение мероприятий по улучшению жилищных условий граждан, молодых семей и молодых специалистов, проживающих и работающих в сельской местности</t>
  </si>
  <si>
    <t>0410172000</t>
  </si>
  <si>
    <t>Социальные выплаты гражданам, кроме публичных нормативных социальных выплат</t>
  </si>
  <si>
    <t>320</t>
  </si>
  <si>
    <t>322</t>
  </si>
  <si>
    <t>Муниципальная программа "Совершенствование молодежной политики  и развитие физической культуры и спорта Овюрского кожууна на 2016-2018 годы"</t>
  </si>
  <si>
    <t>0500000000</t>
  </si>
  <si>
    <t>подпрограмма "Развитие физической культуры и спорта"</t>
  </si>
  <si>
    <t>0520000000</t>
  </si>
  <si>
    <t>подпрограмма "Социальная поддержка по оплате коммунальных услуг педагогическим работникам работающим и проживающим в сельской местности"</t>
  </si>
  <si>
    <t>0770000000</t>
  </si>
  <si>
    <t>0770176140</t>
  </si>
  <si>
    <t>Охрана семьи и детства</t>
  </si>
  <si>
    <t>0710376090</t>
  </si>
  <si>
    <t>0140000000</t>
  </si>
  <si>
    <t>0140100019</t>
  </si>
  <si>
    <t>0140276040</t>
  </si>
  <si>
    <t>ФИЗИЧЕСКАЯ КУЛЬТУРА И СПОРТ</t>
  </si>
  <si>
    <t>0510000000</t>
  </si>
  <si>
    <t>0510107020</t>
  </si>
  <si>
    <t>0520107250</t>
  </si>
  <si>
    <t>СРЕДСТВА МАССОВОЙ ИНФОРМАЦИИ</t>
  </si>
  <si>
    <t>Обеспечение деятельности (оказание услуг)  учреждений средств массовой информации</t>
  </si>
  <si>
    <t>7800040060</t>
  </si>
  <si>
    <t>МЕЖБЮДЖЕТНЫЕ ТРАНСФЕРТЫ ОБЩЕГО ХАРАКТЕРА БЮДЖЕТАМ БЮДЖЕТНОЙ СИСТЕМЫ РОССИЙСКОЙ ФЕДЕРАЦИИ</t>
  </si>
  <si>
    <t>Дотации на выравнивание бюджетной обеспеченности</t>
  </si>
  <si>
    <t>9700020010</t>
  </si>
  <si>
    <t>9900070020</t>
  </si>
  <si>
    <t>9900070060</t>
  </si>
  <si>
    <t>,5.40</t>
  </si>
  <si>
    <t xml:space="preserve">                                                                                                                             ИТОГО:</t>
  </si>
  <si>
    <t xml:space="preserve">ВЕДОМСТВЕННАЯ СТРУКТУРА РАСХОДОВ		</t>
  </si>
  <si>
    <t>Код по бюджетной классификации</t>
  </si>
  <si>
    <t>КВСР</t>
  </si>
  <si>
    <t>ГЛАВА</t>
  </si>
  <si>
    <t>Муниципальное учреждение Отдел культуры и по делам национальностей Овюрского кожууна Республики Тыва</t>
  </si>
  <si>
    <t>Управление труда и социального развития Овюрского кожууна Республики Тыва</t>
  </si>
  <si>
    <t>Овюрское управление сельского хозяйства и продовольствия Республики Тыва</t>
  </si>
  <si>
    <t>Муниципальное учреждение Управление образованием Овюрского кожууна</t>
  </si>
  <si>
    <t>Хурал представителей Овюрского кожууна Республики Тыва</t>
  </si>
  <si>
    <t>Администрация Овюрского кожууна Республики Тыва</t>
  </si>
  <si>
    <t xml:space="preserve">                 "О  бюджете муниципального района "Овюрский кожуун" Республики Тыва</t>
  </si>
  <si>
    <t>Приложение 11</t>
  </si>
  <si>
    <t>на 2020 год и на плановый период 2021 и 2022 годов"</t>
  </si>
  <si>
    <t>2 02 25511 05 0000 150</t>
  </si>
  <si>
    <t>Субсидии бюджетам муниципальных районов на проведение комплексных кадастровых работ</t>
  </si>
  <si>
    <t>Субвенции бюджетам муниципальных районов на осуществление ежемесячной выплаты в связи с рождением (усыновлением) первого ребенка</t>
  </si>
  <si>
    <t>2 02 25466 05 0000 150</t>
  </si>
  <si>
    <t>Субсидии бюджетам муниципальных районов на поддержку творческой деятельности и укрепление материально технической базы муниципальных театров в населенных пунктах с численностью населения до 300 тысяч человек</t>
  </si>
  <si>
    <t>Субсидии бюджетам муниципального района на поддержку отрасли культуры</t>
  </si>
  <si>
    <t>2 02 25576 05 0000 150</t>
  </si>
  <si>
    <t>Субсидии бюджетам муниципальных районов на обеспечение комплексного развития сельских территорий</t>
  </si>
  <si>
    <t>Субсидии бюджетам муниципального района на реализацию мероприятий по обеспечению жильем молодых семей</t>
  </si>
  <si>
    <t>Субвенции на организацию отдыха и оздоровления детей</t>
  </si>
  <si>
    <t>Обеспечение функционирования местной администрации (Иные выплаты персоналу муниципальных органов, за исключением фонда оплаты труда)</t>
  </si>
  <si>
    <t>7800000870</t>
  </si>
  <si>
    <t>0900000000</t>
  </si>
  <si>
    <t>Реализация мероприятий направленных на создание условий для развития предпринимательства</t>
  </si>
  <si>
    <t>0910000000</t>
  </si>
  <si>
    <t>0910104014</t>
  </si>
  <si>
    <t>Муниципальная программа "Профилактика терроризма и экстремизма, улучшение общественной безопасности последствий проявления терроризма на территории муниципального района "Овюрский кожуун" РТ на 2020-2022 годы"</t>
  </si>
  <si>
    <t>1200000000</t>
  </si>
  <si>
    <t>Муниципальная программа " Совершенствование и развитие гражданской обороны, защиты населения и территорий от чрезвычайных ситуаций природного и техногенного характера на территории муниципального района "Овюрский кожуун" РТ на 2020-2022 г"</t>
  </si>
  <si>
    <t>1400000000</t>
  </si>
  <si>
    <t>Основное направление "Обеспечение безопасности населения и территорий муниципального района "Овюрский кожуун"РТ"</t>
  </si>
  <si>
    <t>1400004000</t>
  </si>
  <si>
    <t>Другие вопросы в области национальной безопасности и правоохранительной деятельности</t>
  </si>
  <si>
    <t>Субсидии (гранты в форме субсидий) на финансовое обеспечение затрат в связи с производством (реализацией) товаров, выполнением работ, оказанием услуг, порядком (правилами) предоставления которых не установлены требования о последующем подтверждении их использования в соответствии с условиями и (или) целями предоставления</t>
  </si>
  <si>
    <t>813</t>
  </si>
  <si>
    <t>Проведение комплексных кадастровых работ</t>
  </si>
  <si>
    <t>10101L5110</t>
  </si>
  <si>
    <t>Создание в общеобразовательных организациях, расположенных в сельской местности, условий для занятий физической культурой и спортом</t>
  </si>
  <si>
    <t>072E250970</t>
  </si>
  <si>
    <t>Комплектование книжных фондов библиотек муниципальных образований</t>
  </si>
  <si>
    <t>08102L5190</t>
  </si>
  <si>
    <t>Поддержка творческой деятельности и укрепление материально технической базы муниципальных театров в населенных пунктах с численностью населения до 300 тысяч человек</t>
  </si>
  <si>
    <t>08201L4660</t>
  </si>
  <si>
    <t>ЗДРАВООХРАНЕНИЕ</t>
  </si>
  <si>
    <t>Другие вопросы в области здравоохранения</t>
  </si>
  <si>
    <t>Пособия, компенсации и иные социальные выплаты гражданам, кроме публичных нормативных обязательств</t>
  </si>
  <si>
    <t>321</t>
  </si>
  <si>
    <t>Обеспечение комплексного развития сельских территорий</t>
  </si>
  <si>
    <t>0430000000</t>
  </si>
  <si>
    <t>04301L5760</t>
  </si>
  <si>
    <t>"Обеспечение жильем молодых семей"</t>
  </si>
  <si>
    <t>05201L4970</t>
  </si>
  <si>
    <t>Осуществление ежемесячной выплаты в связи с рождением (усыновлением) первого ребенка</t>
  </si>
  <si>
    <t>012P155730</t>
  </si>
  <si>
    <t>Иные дотации</t>
  </si>
  <si>
    <t>Дотации на поддержку мер по обеспечению сбалансированности бюджетов</t>
  </si>
  <si>
    <t>9700020020</t>
  </si>
  <si>
    <t>512</t>
  </si>
  <si>
    <t xml:space="preserve">ПО РАЗДЕЛАМ, ПОДРАЗДЕЛАМ, ЦЕЛЕВЫМ СТАТЬЯМ (ГОСУДАРСТВЕННЫМ ПРОГРАММАМ РЕСПУБЛИКИ ТЫВА И НЕПРОГРАММНЫМ НАПРАВЛЕНИЯМ ДЕЯТЕЛЬНОСТИ), ГРУППАМ ВИДОВ РАСХОДОВ КЛАССИФИКАЦИИ РАСХОДОВ бюджета муниципального района "Овюрский кожуун" Республики Тыва </t>
  </si>
  <si>
    <t>ВидПлана</t>
  </si>
  <si>
    <t>ИТОГО:</t>
  </si>
  <si>
    <t>Подпрограмма "Развитие туризма на территории Овюрского кожууна"</t>
  </si>
  <si>
    <t>0840000000</t>
  </si>
  <si>
    <t>Реализация мер по развитию турризма на ерритории Овюрского кожууна РТ</t>
  </si>
  <si>
    <t>0840047000</t>
  </si>
  <si>
    <t>Сумма</t>
  </si>
  <si>
    <t>Изменение       +,-</t>
  </si>
  <si>
    <t>Предусмотрено</t>
  </si>
  <si>
    <t>Исполнено</t>
  </si>
  <si>
    <t>% исполнения</t>
  </si>
  <si>
    <t>Исполнено на 01.04.2020</t>
  </si>
  <si>
    <t>2 02 35084 05 0000 150</t>
  </si>
  <si>
    <t>Субвенции бюджетам муниципальных районов на осуществление ежемесячной денежной выплаты, назначаемой в случае рождения третьего ребенка или последующих детей до достижения ребенком возраста трех лет</t>
  </si>
  <si>
    <t>2 19 600100 05 0000 150</t>
  </si>
  <si>
    <t>Возврат прочих остатков субсидий, субвенций и иных межбюджетных трансфертов, имеющих целевое назначение прошлых лет бюджетов муниципальных районов</t>
  </si>
  <si>
    <t>"ОВЮРСКИЙ КОЖУУН" РЕСПУБЛИКИ ТЫВА ЗА 1 КВАРТАЛ 2020 ГОДА</t>
  </si>
  <si>
    <t>012Р150840</t>
  </si>
  <si>
    <t>Иные выплаты населению</t>
  </si>
  <si>
    <t>360</t>
  </si>
  <si>
    <t>Исполнено на 01.04.2020 г</t>
  </si>
  <si>
    <t>01 05 02 01 05 0000 510</t>
  </si>
  <si>
    <t>Увеличение прочих остатков денежных средств бюджетов муниципальных районов</t>
  </si>
  <si>
    <t>Источники внутреннего финансирования дефицита  бюджета муниципального района "Овюрский кожуун" Республики Тыва за 1 квартал 2020 года</t>
  </si>
  <si>
    <t>РАСПРЕДЕЛЕНИЕ БЮДЖЕТНЫХ АССИГНОВАНИЙ ЗА 1 КВАРТАЛ 2020 ГОДА</t>
  </si>
  <si>
    <t xml:space="preserve"> бюджета муниципального района "Овюрский кожуун" Республики Тыва за 1 квартал 2020 года </t>
  </si>
  <si>
    <t>дотации на выравнивание бюджетной обеспеченности бюджетам поселений за 1 квартал 2020 года</t>
  </si>
  <si>
    <t>дотации бюджетам сельских поселений на поддержку мер по обеспечению сбалансированности бюджетов за 1 квартал 2020 года</t>
  </si>
  <si>
    <t xml:space="preserve"> субвенций на осуществление государственных полномочий по установлению запрета на розничную продажу алкогольной продукции в Республике Тыва бюджетам поселений за 1 квартал 2020 года</t>
  </si>
  <si>
    <t xml:space="preserve"> субвенций на осуществление первичного воинского учета на территориях, где отсутствуют военные комиссариаты бюджетам поселений за 1 квартал 2020 года</t>
  </si>
  <si>
    <t>иные межбюджетные трансферты  на долевое финансирование расходов на оплату коммунальных услуг (в отношении расходов по оплате электрической и тепловой энергии, водоснабжения), приобретение котельно-печного топлива для казенных, бюджетных и автономных учреждений (с учетом доставки и услуг поставщика) бюджетам поселений за 1 квартал 2020 года</t>
  </si>
  <si>
    <t>иные межбюджетные трансферты на закупку и доставку угля для казенных, бюджетных и автономных учреждений расположенных в труднодоступных населенных пунктах бюджетам поселений за 1 квартал 2020 года</t>
  </si>
  <si>
    <t>Приложение 2</t>
  </si>
  <si>
    <t>Приложение 3</t>
  </si>
  <si>
    <t>Приложение 4</t>
  </si>
  <si>
    <t>Приложение 6</t>
  </si>
  <si>
    <t>Приложение 7</t>
  </si>
  <si>
    <t>Приложение 8</t>
  </si>
  <si>
    <t>Приложение 10</t>
  </si>
  <si>
    <t>,</t>
  </si>
  <si>
    <t>ИСПОЛНЕНИЕ</t>
  </si>
  <si>
    <t>(тыс.рублей)</t>
  </si>
  <si>
    <t>Основание</t>
  </si>
  <si>
    <t>КОСГУ</t>
  </si>
  <si>
    <t>Кому направлено</t>
  </si>
  <si>
    <t>Наименование мероприятий</t>
  </si>
  <si>
    <t>Профинансировано</t>
  </si>
  <si>
    <t xml:space="preserve"> Распоряжение Администрации № 38 от 09.02 2018 г</t>
  </si>
  <si>
    <t>Администрация Овюрского кожууна</t>
  </si>
  <si>
    <t xml:space="preserve">Приобретение ГСМ </t>
  </si>
  <si>
    <t>Распоряжение Администрации № 164 от 30.05 2018 г</t>
  </si>
  <si>
    <t>Приобретение ГСМ 600 литр (дизельное топливо)</t>
  </si>
  <si>
    <t>Распоряжение Администрации № 168 "б" от 01.06 2018 г</t>
  </si>
  <si>
    <t>ООО "ДРСУч"</t>
  </si>
  <si>
    <t>Приобретение ГСМ 1140 литр (дизельное топливо)</t>
  </si>
  <si>
    <t>Распоряжение Администрации № 239 "а" от 25.07 2018 г</t>
  </si>
  <si>
    <t>Приобретение ГСМ 576 литр (дизельное топливо)</t>
  </si>
  <si>
    <t>Материальная помощь</t>
  </si>
  <si>
    <t>ВСЕГО</t>
  </si>
  <si>
    <t>средств резервного фонда за 1 квартал 2020 года</t>
  </si>
  <si>
    <t>Распоряжение Администрации № 26 от 07.02.2020г</t>
  </si>
  <si>
    <t>Распоряжение Администрации № 54 от 05.03.2020г</t>
  </si>
  <si>
    <t>материальный помощь Дырыш Ч.О. на лечение ребенка в г. Санкт- Петербург с диагнозом "Острый ларинготрахеобронхит 3 степени"</t>
  </si>
  <si>
    <t>материальный помощь для организации похорон курсанта 4 курса Военной академии материально- технического обеспечения им. А.В. Хрулева г. Санкт- Петербурга (Ондар К.В.)</t>
  </si>
  <si>
    <t>Приложение 5</t>
  </si>
  <si>
    <t>на 2019 год и на плановый период 2020 и 2021 годов"</t>
  </si>
  <si>
    <t xml:space="preserve">РАСПРЕДЕЛЕНИЕ БЮДЖЕТНЫХ АССИГНОВАНИЙ ПО ЦЕЛЕВЫМ									</t>
  </si>
  <si>
    <t xml:space="preserve">СТАТЬЯМ (МУНИЦИПАЛЬНЫМ ПРОГРАММАМ),					</t>
  </si>
  <si>
    <t xml:space="preserve">ГРУППАМ ВИДОВ РАСХОДОВ, РАЗДЕЛАМ, ПОДРАЗДЕЛАМ КЛАССИФИКАЦИИ РАСХОДОВ					</t>
  </si>
  <si>
    <t>Итого программных расходов</t>
  </si>
  <si>
    <t>Приложение 12</t>
  </si>
  <si>
    <t>"ОВЮРСКИЙ КОЖУУН" РЕСПУБЛИКИ ТЫВА за 2019 год</t>
  </si>
  <si>
    <t>Исполнение</t>
  </si>
  <si>
    <t>10601000020000110</t>
  </si>
  <si>
    <t>Налог на имущество с физичексих лиц</t>
  </si>
  <si>
    <t>10606000020000110</t>
  </si>
  <si>
    <t>Земельный налог</t>
  </si>
  <si>
    <t>Итого непрограммных расходов</t>
  </si>
  <si>
    <t>11 00 00 0000</t>
  </si>
  <si>
    <t>Программа "Профессиональная подготовка, переподготовка и повышение квалификации"</t>
  </si>
  <si>
    <t>10 00 00 0000</t>
  </si>
  <si>
    <t>090 00 00 000</t>
  </si>
  <si>
    <t>080 00 00 000</t>
  </si>
  <si>
    <t>Муниципальная программа "Развитие культуры"</t>
  </si>
  <si>
    <t>070 00 00 000</t>
  </si>
  <si>
    <t>Муниципальная программа "Развитие образования Овюрского кожууна"</t>
  </si>
  <si>
    <t>060 00 00 000</t>
  </si>
  <si>
    <t>Программа "Профилактика социально-значимых заболеваний, вакцинопрофилактика"</t>
  </si>
  <si>
    <t>050 00 00 000</t>
  </si>
  <si>
    <t>Программа "Совершенствование молодежной политики и развитие физической культуры"</t>
  </si>
  <si>
    <t>040 00 00 000</t>
  </si>
  <si>
    <t>030 00 00 000</t>
  </si>
  <si>
    <t>020 00 00 000</t>
  </si>
  <si>
    <t>Программа "Безопасность"</t>
  </si>
  <si>
    <t xml:space="preserve">010 00 00 000 </t>
  </si>
  <si>
    <t>Итого</t>
  </si>
  <si>
    <t>КЦСР</t>
  </si>
  <si>
    <t>с. Сарыг-Холь</t>
  </si>
  <si>
    <t>с. Чаа-Суур</t>
  </si>
  <si>
    <t>с. Дус-Даг</t>
  </si>
  <si>
    <t>с. Саглы</t>
  </si>
  <si>
    <t>с. Солчур</t>
  </si>
  <si>
    <t>иные межбюджетные трансферты</t>
  </si>
  <si>
    <t>Дотации бюджетам сельских поселений на поддержку мер по обеспечению сбалансированности</t>
  </si>
  <si>
    <t>Дотации на выравнивание уровня бюджетной обеспеченности</t>
  </si>
  <si>
    <t>Наименование поселений</t>
  </si>
  <si>
    <t>Демография</t>
  </si>
  <si>
    <t>Жилье и городская среда</t>
  </si>
  <si>
    <t>Образование</t>
  </si>
  <si>
    <t>Наименование национальных проектов</t>
  </si>
  <si>
    <t>Доставка угля</t>
  </si>
  <si>
    <t>Уголь</t>
  </si>
  <si>
    <t>Электроэнергия</t>
  </si>
  <si>
    <t>Аппарат управления</t>
  </si>
  <si>
    <t>Собственные доходы</t>
  </si>
  <si>
    <t>Субсидии</t>
  </si>
  <si>
    <t>в т.ч.</t>
  </si>
  <si>
    <t xml:space="preserve">УДО </t>
  </si>
  <si>
    <t>ОУ</t>
  </si>
  <si>
    <t>ДОУ</t>
  </si>
  <si>
    <t>%  выполнения индикатора</t>
  </si>
  <si>
    <t>Средняя заработная плата по статистическим данным, в руб</t>
  </si>
  <si>
    <t>Средняя заработная плата по Республике Тыва, в руб</t>
  </si>
  <si>
    <t>Численность</t>
  </si>
  <si>
    <t>Категории</t>
  </si>
  <si>
    <t>х</t>
  </si>
  <si>
    <t>Дефицит (-)/профицит(+) бюджета</t>
  </si>
  <si>
    <t>Межбюджетные трансферты общего характера бюджетам муниципальных образований</t>
  </si>
  <si>
    <t>Обслуживание муниципального долга</t>
  </si>
  <si>
    <t>Средства массовой информации</t>
  </si>
  <si>
    <t>Физическая культура и спорт</t>
  </si>
  <si>
    <t>1006</t>
  </si>
  <si>
    <t>Пенсионное обеспечение</t>
  </si>
  <si>
    <t>Социальная политика</t>
  </si>
  <si>
    <t>1000</t>
  </si>
  <si>
    <t>Здравоохранение</t>
  </si>
  <si>
    <t>0900</t>
  </si>
  <si>
    <t>Другие вопросы в области культуры</t>
  </si>
  <si>
    <t>0804</t>
  </si>
  <si>
    <t>0801</t>
  </si>
  <si>
    <t>Культура, кинематография</t>
  </si>
  <si>
    <t>0800</t>
  </si>
  <si>
    <t>0709</t>
  </si>
  <si>
    <t>0707</t>
  </si>
  <si>
    <t>Профессиональная переподготовка и повышение квалификации</t>
  </si>
  <si>
    <t>0705</t>
  </si>
  <si>
    <t>0703</t>
  </si>
  <si>
    <t>0702</t>
  </si>
  <si>
    <t>0701</t>
  </si>
  <si>
    <t>0700</t>
  </si>
  <si>
    <t>0503</t>
  </si>
  <si>
    <t>Коммунальное хозяйство</t>
  </si>
  <si>
    <t>0502</t>
  </si>
  <si>
    <t>Жилищно-коммунальное хозяйство</t>
  </si>
  <si>
    <t>0500</t>
  </si>
  <si>
    <t>0412</t>
  </si>
  <si>
    <t>Дорожное хозяйство</t>
  </si>
  <si>
    <t>0409</t>
  </si>
  <si>
    <t>Сельское хозяйство</t>
  </si>
  <si>
    <t>0405</t>
  </si>
  <si>
    <t>Национальная экономика</t>
  </si>
  <si>
    <t>0400</t>
  </si>
  <si>
    <t>Национальная безопасность</t>
  </si>
  <si>
    <t>0300</t>
  </si>
  <si>
    <t>Национальная оборона</t>
  </si>
  <si>
    <t>0200</t>
  </si>
  <si>
    <t>Общегосударственные расходы</t>
  </si>
  <si>
    <t>0100</t>
  </si>
  <si>
    <t>Всего расходов</t>
  </si>
  <si>
    <t>исполнения</t>
  </si>
  <si>
    <t>%</t>
  </si>
  <si>
    <t>Утвержде но</t>
  </si>
  <si>
    <t>Раздел/под­раздел</t>
  </si>
  <si>
    <t>12 00 00 0000</t>
  </si>
  <si>
    <t>14 00 00 0000</t>
  </si>
  <si>
    <t>Наименование субвенций</t>
  </si>
  <si>
    <t>Для справок</t>
  </si>
  <si>
    <t>Хандагайты</t>
  </si>
  <si>
    <t xml:space="preserve">план </t>
  </si>
  <si>
    <t>факт</t>
  </si>
  <si>
    <t>количество получателей</t>
  </si>
  <si>
    <t>сумма</t>
  </si>
  <si>
    <t>доля, в %</t>
  </si>
  <si>
    <t>Субвенции бюджетам муниципальных образований на предоставление гражданам субсидий на оплату жилого помещения и коммунальных услуг</t>
  </si>
  <si>
    <t>Субвенции бюджетам муниципальных районов на выполнение полномочий Российской Федерации по осуществлению ежемесячной выплаты в связи с рождением (усыновлением) первого ребенка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</si>
</sst>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8">
    <numFmt numFmtId="44" formatCode="_-* #,##0.00&quot;р.&quot;_-;\-* #,##0.00&quot;р.&quot;_-;_-* &quot;-&quot;??&quot;р.&quot;_-;_-@_-"/>
    <numFmt numFmtId="43" formatCode="_-* #,##0.00_р_._-;\-* #,##0.00_р_._-;_-* &quot;-&quot;??_р_._-;_-@_-"/>
    <numFmt numFmtId="164" formatCode="&quot;Да&quot;;&quot;Да&quot;;&quot;Нет&quot;"/>
    <numFmt numFmtId="165" formatCode="_(* #,##0.00_);_(* \(#,##0.00\);_(* &quot;-&quot;??_);_(@_)"/>
    <numFmt numFmtId="166" formatCode="#,##0.0"/>
    <numFmt numFmtId="167" formatCode="#,##0.0_ ;[Red]\-#,##0.0\ "/>
    <numFmt numFmtId="168" formatCode="#,##0.00_ ;[Red]\-#,##0.00\ "/>
    <numFmt numFmtId="169" formatCode="[$-F800]dddd\,\ mmmm\ dd\,\ yyyy"/>
    <numFmt numFmtId="170" formatCode="#,##0.000_ ;[Red]\-#,##0.000\ "/>
    <numFmt numFmtId="171" formatCode="0.0"/>
    <numFmt numFmtId="172" formatCode="#,##0.0000_ ;[Red]\-#,##0.0000\ "/>
    <numFmt numFmtId="173" formatCode="0000"/>
    <numFmt numFmtId="174" formatCode="0000000000"/>
    <numFmt numFmtId="175" formatCode="000"/>
    <numFmt numFmtId="176" formatCode="00;[Red]\-00;&quot;&quot;"/>
    <numFmt numFmtId="177" formatCode="0000000;[Red]\-0000000;&quot;&quot;"/>
    <numFmt numFmtId="178" formatCode="000;[Red]\-000;&quot;&quot;"/>
    <numFmt numFmtId="179" formatCode="##0.0;[Red]\-##0.0;0.0"/>
    <numFmt numFmtId="180" formatCode="#,##0.00;[Red]\-#,##0.00;0.00"/>
    <numFmt numFmtId="181" formatCode="#,##0_ ;[Red]\-#,##0\ "/>
    <numFmt numFmtId="182" formatCode="#,##0.00000_ ;[Red]\-#,##0.00000\ "/>
    <numFmt numFmtId="183" formatCode="#,##0.000000"/>
    <numFmt numFmtId="184" formatCode="#,##0.0000000"/>
    <numFmt numFmtId="185" formatCode="0.00000000"/>
    <numFmt numFmtId="186" formatCode="##0;[Red]\-##0;0"/>
    <numFmt numFmtId="187" formatCode="0.0_ ;[Red]\-0.0\ "/>
    <numFmt numFmtId="188" formatCode="0.00000"/>
    <numFmt numFmtId="189" formatCode="##0.000000;[Red]\-##0.000000;0.000000"/>
  </numFmts>
  <fonts count="67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i/>
      <sz val="8"/>
      <color indexed="23"/>
      <name val="Arial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8"/>
      <name val="Arial Cyr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0"/>
      <color indexed="62"/>
      <name val="Arial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0"/>
      <color indexed="8"/>
      <name val="Arial"/>
      <family val="2"/>
      <charset val="204"/>
    </font>
    <font>
      <sz val="11"/>
      <color indexed="17"/>
      <name val="Calibri"/>
      <family val="2"/>
      <charset val="204"/>
    </font>
    <font>
      <sz val="10"/>
      <name val="Times New Roman"/>
      <family val="1"/>
      <charset val="204"/>
    </font>
    <font>
      <b/>
      <sz val="11"/>
      <name val="Times New Roman"/>
      <family val="1"/>
      <charset val="204"/>
    </font>
    <font>
      <sz val="11"/>
      <name val="Times New Roman"/>
      <family val="1"/>
      <charset val="204"/>
    </font>
    <font>
      <i/>
      <sz val="11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1"/>
      <color indexed="8"/>
      <name val="Times New Roman"/>
      <family val="1"/>
      <charset val="204"/>
    </font>
    <font>
      <i/>
      <sz val="10"/>
      <name val="Times New Roman"/>
      <family val="1"/>
      <charset val="204"/>
    </font>
    <font>
      <sz val="10"/>
      <name val="Arial"/>
      <family val="2"/>
      <charset val="204"/>
    </font>
    <font>
      <sz val="11"/>
      <name val="Times New Roman Cyr"/>
      <family val="1"/>
      <charset val="204"/>
    </font>
    <font>
      <b/>
      <sz val="10"/>
      <name val="Arial Cyr"/>
      <charset val="204"/>
    </font>
    <font>
      <sz val="12"/>
      <name val="Times New Roman CYR"/>
      <family val="1"/>
      <charset val="204"/>
    </font>
    <font>
      <b/>
      <sz val="12"/>
      <name val="Times New Roman Cyr"/>
      <family val="1"/>
      <charset val="204"/>
    </font>
    <font>
      <b/>
      <sz val="11"/>
      <name val="Times New Roman Cyr"/>
      <family val="1"/>
      <charset val="204"/>
    </font>
    <font>
      <b/>
      <sz val="10"/>
      <name val="Times New Roman CYR"/>
      <family val="1"/>
      <charset val="204"/>
    </font>
    <font>
      <sz val="11"/>
      <name val="Arial Cyr"/>
      <charset val="204"/>
    </font>
    <font>
      <b/>
      <sz val="11"/>
      <color indexed="8"/>
      <name val="Times New Roman"/>
      <family val="1"/>
      <charset val="204"/>
    </font>
    <font>
      <i/>
      <sz val="11"/>
      <color indexed="8"/>
      <name val="Times New Roman"/>
      <family val="1"/>
      <charset val="204"/>
    </font>
    <font>
      <sz val="10"/>
      <name val="Arial"/>
      <family val="2"/>
      <charset val="204"/>
    </font>
    <font>
      <sz val="10"/>
      <name val="Arial"/>
      <family val="2"/>
      <charset val="204"/>
    </font>
    <font>
      <sz val="10"/>
      <name val="Arial"/>
      <family val="2"/>
      <charset val="204"/>
    </font>
    <font>
      <b/>
      <i/>
      <sz val="10"/>
      <name val="Times New Roman"/>
      <family val="1"/>
      <charset val="204"/>
    </font>
    <font>
      <sz val="8"/>
      <name val="Arial"/>
      <family val="2"/>
      <charset val="204"/>
    </font>
    <font>
      <sz val="11"/>
      <color rgb="FFFF0000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sz val="10"/>
      <color rgb="FFFF0000"/>
      <name val="Arial Cyr"/>
      <charset val="204"/>
    </font>
    <font>
      <sz val="10"/>
      <color rgb="FFFF0000"/>
      <name val="Times New Roman"/>
      <family val="1"/>
      <charset val="204"/>
    </font>
    <font>
      <b/>
      <sz val="10"/>
      <color rgb="FFFF0000"/>
      <name val="Arial Cyr"/>
      <charset val="204"/>
    </font>
    <font>
      <b/>
      <sz val="8"/>
      <name val="Times New Roman"/>
      <family val="1"/>
      <charset val="204"/>
    </font>
    <font>
      <sz val="8"/>
      <name val="Times New Roman"/>
      <family val="1"/>
      <charset val="204"/>
    </font>
    <font>
      <b/>
      <sz val="8"/>
      <name val="Arial"/>
      <family val="2"/>
      <charset val="204"/>
    </font>
    <font>
      <b/>
      <sz val="12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1.5"/>
      <name val="Times New Roman"/>
      <family val="1"/>
      <charset val="204"/>
    </font>
    <font>
      <sz val="13.5"/>
      <name val="Times New Roman"/>
      <family val="1"/>
      <charset val="204"/>
    </font>
    <font>
      <b/>
      <sz val="11"/>
      <name val="Arial Cyr"/>
      <charset val="204"/>
    </font>
    <font>
      <b/>
      <i/>
      <sz val="11"/>
      <name val="Times New Roman"/>
      <family val="1"/>
      <charset val="204"/>
    </font>
  </fonts>
  <fills count="31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darkDown">
        <fgColor indexed="10"/>
      </patternFill>
    </fill>
    <fill>
      <patternFill patternType="solid">
        <fgColor indexed="15"/>
      </patternFill>
    </fill>
    <fill>
      <patternFill patternType="solid">
        <fgColor indexed="13"/>
      </patternFill>
    </fill>
    <fill>
      <patternFill patternType="solid">
        <fgColor indexed="41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00"/>
        <bgColor indexed="64"/>
      </patternFill>
    </fill>
  </fills>
  <borders count="5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dashed">
        <color indexed="12"/>
      </left>
      <right style="dashed">
        <color indexed="12"/>
      </right>
      <top style="dashed">
        <color indexed="12"/>
      </top>
      <bottom style="dashed">
        <color indexed="1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96">
    <xf numFmtId="0" fontId="0" fillId="0" borderId="0"/>
    <xf numFmtId="0" fontId="6" fillId="2" borderId="0" applyNumberFormat="0" applyBorder="0" applyAlignment="0" applyProtection="0"/>
    <xf numFmtId="0" fontId="6" fillId="3" borderId="0" applyNumberFormat="0" applyBorder="0" applyAlignment="0" applyProtection="0"/>
    <xf numFmtId="0" fontId="6" fillId="4" borderId="0" applyNumberFormat="0" applyBorder="0" applyAlignment="0" applyProtection="0"/>
    <xf numFmtId="0" fontId="6" fillId="5" borderId="0" applyNumberFormat="0" applyBorder="0" applyAlignment="0" applyProtection="0"/>
    <xf numFmtId="0" fontId="6" fillId="6" borderId="0" applyNumberFormat="0" applyBorder="0" applyAlignment="0" applyProtection="0"/>
    <xf numFmtId="0" fontId="6" fillId="7" borderId="0" applyNumberFormat="0" applyBorder="0" applyAlignment="0" applyProtection="0"/>
    <xf numFmtId="0" fontId="6" fillId="8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5" borderId="0" applyNumberFormat="0" applyBorder="0" applyAlignment="0" applyProtection="0"/>
    <xf numFmtId="0" fontId="6" fillId="8" borderId="0" applyNumberFormat="0" applyBorder="0" applyAlignment="0" applyProtection="0"/>
    <xf numFmtId="0" fontId="6" fillId="11" borderId="0" applyNumberFormat="0" applyBorder="0" applyAlignment="0" applyProtection="0"/>
    <xf numFmtId="0" fontId="7" fillId="12" borderId="0" applyNumberFormat="0" applyBorder="0" applyAlignment="0" applyProtection="0"/>
    <xf numFmtId="0" fontId="7" fillId="9" borderId="0" applyNumberFormat="0" applyBorder="0" applyAlignment="0" applyProtection="0"/>
    <xf numFmtId="0" fontId="7" fillId="10" borderId="0" applyNumberFormat="0" applyBorder="0" applyAlignment="0" applyProtection="0"/>
    <xf numFmtId="0" fontId="7" fillId="13" borderId="0" applyNumberFormat="0" applyBorder="0" applyAlignment="0" applyProtection="0"/>
    <xf numFmtId="0" fontId="7" fillId="14" borderId="0" applyNumberFormat="0" applyBorder="0" applyAlignment="0" applyProtection="0"/>
    <xf numFmtId="0" fontId="7" fillId="15" borderId="0" applyNumberFormat="0" applyBorder="0" applyAlignment="0" applyProtection="0"/>
    <xf numFmtId="0" fontId="7" fillId="16" borderId="0" applyNumberFormat="0" applyBorder="0" applyAlignment="0" applyProtection="0"/>
    <xf numFmtId="0" fontId="7" fillId="17" borderId="0" applyNumberFormat="0" applyBorder="0" applyAlignment="0" applyProtection="0"/>
    <xf numFmtId="0" fontId="7" fillId="18" borderId="0" applyNumberFormat="0" applyBorder="0" applyAlignment="0" applyProtection="0"/>
    <xf numFmtId="0" fontId="7" fillId="13" borderId="0" applyNumberFormat="0" applyBorder="0" applyAlignment="0" applyProtection="0"/>
    <xf numFmtId="0" fontId="7" fillId="14" borderId="0" applyNumberFormat="0" applyBorder="0" applyAlignment="0" applyProtection="0"/>
    <xf numFmtId="0" fontId="7" fillId="19" borderId="0" applyNumberFormat="0" applyBorder="0" applyAlignment="0" applyProtection="0"/>
    <xf numFmtId="0" fontId="8" fillId="7" borderId="2" applyNumberFormat="0" applyAlignment="0" applyProtection="0"/>
    <xf numFmtId="0" fontId="9" fillId="20" borderId="3" applyNumberFormat="0" applyAlignment="0" applyProtection="0"/>
    <xf numFmtId="0" fontId="10" fillId="20" borderId="2" applyNumberFormat="0" applyAlignment="0" applyProtection="0"/>
    <xf numFmtId="0" fontId="11" fillId="0" borderId="4" applyNumberFormat="0">
      <alignment horizontal="right" vertical="top"/>
    </xf>
    <xf numFmtId="0" fontId="11" fillId="0" borderId="4" applyNumberFormat="0">
      <alignment horizontal="right" vertical="top"/>
    </xf>
    <xf numFmtId="0" fontId="11" fillId="21" borderId="4" applyNumberFormat="0">
      <alignment horizontal="right" vertical="top"/>
    </xf>
    <xf numFmtId="44" fontId="3" fillId="0" borderId="0" applyFont="0" applyFill="0" applyBorder="0" applyAlignment="0" applyProtection="0"/>
    <xf numFmtId="49" fontId="11" fillId="20" borderId="4">
      <alignment horizontal="left" vertical="top"/>
    </xf>
    <xf numFmtId="49" fontId="12" fillId="0" borderId="4">
      <alignment horizontal="left" vertical="top"/>
    </xf>
    <xf numFmtId="0" fontId="13" fillId="0" borderId="5" applyNumberFormat="0" applyFill="0" applyAlignment="0" applyProtection="0"/>
    <xf numFmtId="0" fontId="14" fillId="0" borderId="6" applyNumberFormat="0" applyFill="0" applyAlignment="0" applyProtection="0"/>
    <xf numFmtId="0" fontId="15" fillId="0" borderId="7" applyNumberFormat="0" applyFill="0" applyAlignment="0" applyProtection="0"/>
    <xf numFmtId="0" fontId="15" fillId="0" borderId="0" applyNumberFormat="0" applyFill="0" applyBorder="0" applyAlignment="0" applyProtection="0"/>
    <xf numFmtId="0" fontId="11" fillId="11" borderId="4">
      <alignment horizontal="left" vertical="top" wrapText="1"/>
    </xf>
    <xf numFmtId="0" fontId="12" fillId="0" borderId="4">
      <alignment horizontal="left" vertical="top" wrapText="1"/>
    </xf>
    <xf numFmtId="0" fontId="11" fillId="2" borderId="4">
      <alignment horizontal="left" vertical="top" wrapText="1"/>
    </xf>
    <xf numFmtId="0" fontId="11" fillId="22" borderId="4">
      <alignment horizontal="left" vertical="top" wrapText="1"/>
    </xf>
    <xf numFmtId="0" fontId="11" fillId="23" borderId="4">
      <alignment horizontal="left" vertical="top" wrapText="1"/>
    </xf>
    <xf numFmtId="0" fontId="11" fillId="24" borderId="4">
      <alignment horizontal="left" vertical="top" wrapText="1"/>
    </xf>
    <xf numFmtId="0" fontId="11" fillId="0" borderId="4">
      <alignment horizontal="left" vertical="top" wrapText="1"/>
    </xf>
    <xf numFmtId="0" fontId="16" fillId="0" borderId="0">
      <alignment horizontal="left" vertical="top"/>
    </xf>
    <xf numFmtId="0" fontId="17" fillId="0" borderId="8" applyNumberFormat="0" applyFill="0" applyAlignment="0" applyProtection="0"/>
    <xf numFmtId="0" fontId="18" fillId="25" borderId="9" applyNumberFormat="0" applyAlignment="0" applyProtection="0"/>
    <xf numFmtId="0" fontId="19" fillId="0" borderId="0" applyNumberFormat="0" applyFill="0" applyBorder="0" applyAlignment="0" applyProtection="0"/>
    <xf numFmtId="0" fontId="20" fillId="26" borderId="0" applyNumberFormat="0" applyBorder="0" applyAlignment="0" applyProtection="0"/>
    <xf numFmtId="0" fontId="11" fillId="0" borderId="0"/>
    <xf numFmtId="0" fontId="2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1" borderId="10" applyNumberFormat="0">
      <alignment horizontal="right" vertical="top"/>
    </xf>
    <xf numFmtId="0" fontId="11" fillId="2" borderId="10" applyNumberFormat="0">
      <alignment horizontal="right" vertical="top"/>
    </xf>
    <xf numFmtId="0" fontId="11" fillId="0" borderId="4" applyNumberFormat="0">
      <alignment horizontal="right" vertical="top"/>
    </xf>
    <xf numFmtId="0" fontId="11" fillId="0" borderId="4" applyNumberFormat="0">
      <alignment horizontal="right" vertical="top"/>
    </xf>
    <xf numFmtId="0" fontId="11" fillId="22" borderId="10" applyNumberFormat="0">
      <alignment horizontal="right" vertical="top"/>
    </xf>
    <xf numFmtId="0" fontId="11" fillId="0" borderId="4" applyNumberFormat="0">
      <alignment horizontal="right" vertical="top"/>
    </xf>
    <xf numFmtId="0" fontId="22" fillId="3" borderId="0" applyNumberFormat="0" applyBorder="0" applyAlignment="0" applyProtection="0"/>
    <xf numFmtId="0" fontId="23" fillId="0" borderId="0" applyNumberFormat="0" applyFill="0" applyBorder="0" applyAlignment="0" applyProtection="0"/>
    <xf numFmtId="0" fontId="11" fillId="27" borderId="11" applyNumberFormat="0" applyFont="0" applyAlignment="0" applyProtection="0"/>
    <xf numFmtId="0" fontId="11" fillId="27" borderId="11" applyNumberFormat="0" applyFont="0" applyAlignment="0" applyProtection="0"/>
    <xf numFmtId="9" fontId="3" fillId="0" borderId="0" applyFont="0" applyFill="0" applyBorder="0" applyAlignment="0" applyProtection="0"/>
    <xf numFmtId="49" fontId="24" fillId="26" borderId="4">
      <alignment horizontal="left" vertical="top" wrapText="1"/>
    </xf>
    <xf numFmtId="49" fontId="11" fillId="0" borderId="4">
      <alignment horizontal="left" vertical="top" wrapText="1"/>
    </xf>
    <xf numFmtId="0" fontId="25" fillId="0" borderId="12" applyNumberFormat="0" applyFill="0" applyAlignment="0" applyProtection="0"/>
    <xf numFmtId="0" fontId="26" fillId="0" borderId="0" applyNumberForma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43" fontId="27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0" fontId="28" fillId="4" borderId="0" applyNumberFormat="0" applyBorder="0" applyAlignment="0" applyProtection="0"/>
    <xf numFmtId="0" fontId="11" fillId="24" borderId="4">
      <alignment horizontal="left" vertical="top" wrapText="1"/>
    </xf>
    <xf numFmtId="0" fontId="11" fillId="0" borderId="4">
      <alignment horizontal="left" vertical="top" wrapText="1"/>
    </xf>
    <xf numFmtId="0" fontId="3" fillId="0" borderId="0"/>
    <xf numFmtId="0" fontId="3" fillId="0" borderId="0"/>
    <xf numFmtId="0" fontId="38" fillId="0" borderId="0"/>
    <xf numFmtId="0" fontId="27" fillId="0" borderId="0"/>
    <xf numFmtId="0" fontId="11" fillId="0" borderId="0"/>
    <xf numFmtId="0" fontId="11" fillId="0" borderId="0"/>
    <xf numFmtId="0" fontId="2" fillId="0" borderId="0"/>
    <xf numFmtId="0" fontId="3" fillId="0" borderId="0"/>
    <xf numFmtId="43" fontId="27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48" fillId="0" borderId="0"/>
    <xf numFmtId="0" fontId="49" fillId="0" borderId="0"/>
    <xf numFmtId="0" fontId="50" fillId="0" borderId="0"/>
    <xf numFmtId="0" fontId="11" fillId="0" borderId="0"/>
    <xf numFmtId="0" fontId="1" fillId="0" borderId="0"/>
    <xf numFmtId="0" fontId="11" fillId="0" borderId="0"/>
  </cellStyleXfs>
  <cellXfs count="570">
    <xf numFmtId="0" fontId="0" fillId="0" borderId="0" xfId="0"/>
    <xf numFmtId="0" fontId="3" fillId="0" borderId="0" xfId="81"/>
    <xf numFmtId="0" fontId="4" fillId="0" borderId="0" xfId="82" applyFont="1" applyFill="1" applyAlignment="1">
      <alignment horizontal="right"/>
    </xf>
    <xf numFmtId="0" fontId="5" fillId="0" borderId="0" xfId="81" applyFont="1" applyAlignment="1">
      <alignment horizontal="center" wrapText="1"/>
    </xf>
    <xf numFmtId="0" fontId="39" fillId="0" borderId="0" xfId="81" applyFont="1" applyAlignment="1">
      <alignment horizontal="right"/>
    </xf>
    <xf numFmtId="0" fontId="30" fillId="0" borderId="1" xfId="80" applyFont="1" applyFill="1" applyBorder="1" applyAlignment="1">
      <alignment horizontal="center" vertical="center" wrapText="1"/>
    </xf>
    <xf numFmtId="167" fontId="3" fillId="0" borderId="0" xfId="81" applyNumberFormat="1"/>
    <xf numFmtId="167" fontId="3" fillId="0" borderId="0" xfId="81" applyNumberFormat="1" applyAlignment="1">
      <alignment vertical="center"/>
    </xf>
    <xf numFmtId="168" fontId="3" fillId="0" borderId="0" xfId="81" applyNumberFormat="1"/>
    <xf numFmtId="0" fontId="40" fillId="0" borderId="0" xfId="81" applyFont="1"/>
    <xf numFmtId="0" fontId="44" fillId="0" borderId="0" xfId="81" applyFont="1" applyBorder="1" applyAlignment="1">
      <alignment vertical="top"/>
    </xf>
    <xf numFmtId="0" fontId="44" fillId="0" borderId="0" xfId="81" applyFont="1" applyBorder="1" applyAlignment="1">
      <alignment horizontal="justify" vertical="top" wrapText="1"/>
    </xf>
    <xf numFmtId="0" fontId="3" fillId="0" borderId="0" xfId="81" applyBorder="1"/>
    <xf numFmtId="0" fontId="3" fillId="0" borderId="0" xfId="81" applyBorder="1" applyAlignment="1">
      <alignment horizontal="right" vertical="center"/>
    </xf>
    <xf numFmtId="0" fontId="3" fillId="0" borderId="0" xfId="81" applyFont="1" applyBorder="1" applyAlignment="1">
      <alignment horizontal="right" vertical="center"/>
    </xf>
    <xf numFmtId="167" fontId="40" fillId="0" borderId="0" xfId="81" applyNumberFormat="1" applyFont="1"/>
    <xf numFmtId="0" fontId="4" fillId="0" borderId="0" xfId="81" applyFont="1" applyBorder="1"/>
    <xf numFmtId="0" fontId="4" fillId="0" borderId="0" xfId="81" applyFont="1" applyBorder="1" applyAlignment="1">
      <alignment horizontal="right" vertical="center"/>
    </xf>
    <xf numFmtId="0" fontId="30" fillId="0" borderId="18" xfId="80" applyFont="1" applyFill="1" applyBorder="1" applyAlignment="1">
      <alignment horizontal="center" vertical="center" wrapText="1"/>
    </xf>
    <xf numFmtId="167" fontId="45" fillId="0" borderId="0" xfId="80" applyNumberFormat="1" applyFont="1" applyFill="1" applyAlignment="1">
      <alignment horizontal="left" vertical="center"/>
    </xf>
    <xf numFmtId="0" fontId="4" fillId="0" borderId="0" xfId="81" applyFont="1"/>
    <xf numFmtId="0" fontId="4" fillId="0" borderId="0" xfId="82" applyFont="1" applyFill="1" applyAlignment="1"/>
    <xf numFmtId="0" fontId="4" fillId="0" borderId="0" xfId="81" applyFont="1" applyAlignment="1">
      <alignment horizontal="right"/>
    </xf>
    <xf numFmtId="0" fontId="4" fillId="0" borderId="0" xfId="81" applyFont="1" applyAlignment="1">
      <alignment horizontal="right" vertical="center"/>
    </xf>
    <xf numFmtId="0" fontId="5" fillId="0" borderId="13" xfId="81" applyFont="1" applyBorder="1" applyAlignment="1">
      <alignment horizontal="center" vertical="center" wrapText="1"/>
    </xf>
    <xf numFmtId="171" fontId="4" fillId="0" borderId="0" xfId="81" applyNumberFormat="1" applyFont="1"/>
    <xf numFmtId="0" fontId="5" fillId="0" borderId="0" xfId="81" applyFont="1" applyAlignment="1">
      <alignment vertical="center" wrapText="1"/>
    </xf>
    <xf numFmtId="0" fontId="4" fillId="0" borderId="1" xfId="81" applyFont="1" applyBorder="1" applyAlignment="1">
      <alignment horizontal="center" vertical="center"/>
    </xf>
    <xf numFmtId="0" fontId="35" fillId="0" borderId="1" xfId="81" applyFont="1" applyBorder="1" applyAlignment="1">
      <alignment horizontal="left" vertical="center" wrapText="1"/>
    </xf>
    <xf numFmtId="166" fontId="4" fillId="0" borderId="1" xfId="81" applyNumberFormat="1" applyFont="1" applyBorder="1" applyAlignment="1">
      <alignment horizontal="center" vertical="center"/>
    </xf>
    <xf numFmtId="49" fontId="4" fillId="0" borderId="1" xfId="81" applyNumberFormat="1" applyFont="1" applyBorder="1" applyAlignment="1">
      <alignment horizontal="center" vertical="center"/>
    </xf>
    <xf numFmtId="0" fontId="4" fillId="0" borderId="1" xfId="81" applyFont="1" applyBorder="1" applyAlignment="1">
      <alignment horizontal="justify" vertical="center"/>
    </xf>
    <xf numFmtId="0" fontId="35" fillId="0" borderId="1" xfId="81" applyFont="1" applyBorder="1" applyAlignment="1">
      <alignment horizontal="justify" vertical="center" wrapText="1"/>
    </xf>
    <xf numFmtId="166" fontId="4" fillId="0" borderId="1" xfId="81" applyNumberFormat="1" applyFont="1" applyFill="1" applyBorder="1" applyAlignment="1">
      <alignment horizontal="center" vertical="center"/>
    </xf>
    <xf numFmtId="0" fontId="5" fillId="0" borderId="1" xfId="81" applyFont="1" applyBorder="1" applyAlignment="1">
      <alignment vertical="center"/>
    </xf>
    <xf numFmtId="0" fontId="46" fillId="0" borderId="1" xfId="80" applyFont="1" applyFill="1" applyBorder="1" applyAlignment="1">
      <alignment horizontal="justify" vertical="top" wrapText="1"/>
    </xf>
    <xf numFmtId="166" fontId="5" fillId="0" borderId="1" xfId="81" applyNumberFormat="1" applyFont="1" applyBorder="1" applyAlignment="1">
      <alignment horizontal="center" vertical="center"/>
    </xf>
    <xf numFmtId="0" fontId="5" fillId="0" borderId="0" xfId="81" applyFont="1"/>
    <xf numFmtId="0" fontId="4" fillId="0" borderId="1" xfId="81" applyFont="1" applyBorder="1" applyAlignment="1">
      <alignment vertical="center"/>
    </xf>
    <xf numFmtId="0" fontId="4" fillId="0" borderId="0" xfId="82" applyFont="1" applyFill="1" applyAlignment="1">
      <alignment horizontal="right"/>
    </xf>
    <xf numFmtId="0" fontId="36" fillId="0" borderId="0" xfId="50" applyFont="1" applyFill="1" applyAlignment="1">
      <alignment vertical="center" wrapText="1"/>
    </xf>
    <xf numFmtId="0" fontId="4" fillId="0" borderId="0" xfId="81" applyFont="1" applyFill="1" applyBorder="1" applyAlignment="1">
      <alignment horizontal="right" vertical="center"/>
    </xf>
    <xf numFmtId="0" fontId="4" fillId="0" borderId="0" xfId="82" applyFont="1" applyFill="1" applyAlignment="1">
      <alignment horizontal="right"/>
    </xf>
    <xf numFmtId="4" fontId="4" fillId="0" borderId="1" xfId="81" applyNumberFormat="1" applyFont="1" applyBorder="1" applyAlignment="1">
      <alignment horizontal="center" vertical="center"/>
    </xf>
    <xf numFmtId="4" fontId="4" fillId="0" borderId="1" xfId="81" applyNumberFormat="1" applyFont="1" applyFill="1" applyBorder="1" applyAlignment="1">
      <alignment horizontal="center" vertical="center"/>
    </xf>
    <xf numFmtId="0" fontId="33" fillId="0" borderId="0" xfId="90" applyNumberFormat="1" applyFont="1" applyFill="1" applyAlignment="1" applyProtection="1">
      <protection hidden="1"/>
    </xf>
    <xf numFmtId="0" fontId="29" fillId="0" borderId="0" xfId="90" applyFont="1" applyFill="1" applyAlignment="1" applyProtection="1">
      <protection hidden="1"/>
    </xf>
    <xf numFmtId="0" fontId="29" fillId="0" borderId="0" xfId="90" applyFont="1" applyProtection="1">
      <protection hidden="1"/>
    </xf>
    <xf numFmtId="0" fontId="29" fillId="0" borderId="0" xfId="90" applyFont="1"/>
    <xf numFmtId="0" fontId="33" fillId="0" borderId="0" xfId="90" applyNumberFormat="1" applyFont="1" applyFill="1" applyAlignment="1" applyProtection="1">
      <alignment horizontal="centerContinuous" vertical="center"/>
      <protection hidden="1"/>
    </xf>
    <xf numFmtId="0" fontId="29" fillId="0" borderId="0" xfId="90" applyNumberFormat="1" applyFont="1" applyFill="1" applyAlignment="1" applyProtection="1">
      <alignment horizontal="centerContinuous"/>
      <protection hidden="1"/>
    </xf>
    <xf numFmtId="0" fontId="29" fillId="0" borderId="0" xfId="90" applyNumberFormat="1" applyFont="1" applyFill="1" applyAlignment="1" applyProtection="1">
      <alignment vertical="top" wrapText="1"/>
      <protection hidden="1"/>
    </xf>
    <xf numFmtId="0" fontId="29" fillId="0" borderId="0" xfId="90" applyFont="1" applyAlignment="1" applyProtection="1">
      <alignment horizontal="right"/>
      <protection hidden="1"/>
    </xf>
    <xf numFmtId="0" fontId="4" fillId="0" borderId="0" xfId="82" applyFont="1" applyFill="1" applyAlignment="1">
      <alignment horizontal="right"/>
    </xf>
    <xf numFmtId="0" fontId="4" fillId="0" borderId="0" xfId="82" applyFont="1" applyFill="1" applyAlignment="1">
      <alignment horizontal="right"/>
    </xf>
    <xf numFmtId="172" fontId="45" fillId="0" borderId="0" xfId="80" applyNumberFormat="1" applyFont="1" applyFill="1" applyAlignment="1">
      <alignment horizontal="left" vertical="center"/>
    </xf>
    <xf numFmtId="0" fontId="29" fillId="0" borderId="0" xfId="92" applyFont="1" applyProtection="1">
      <protection hidden="1"/>
    </xf>
    <xf numFmtId="0" fontId="29" fillId="0" borderId="0" xfId="92" applyFont="1"/>
    <xf numFmtId="175" fontId="33" fillId="0" borderId="38" xfId="92" applyNumberFormat="1" applyFont="1" applyFill="1" applyBorder="1" applyAlignment="1" applyProtection="1">
      <protection hidden="1"/>
    </xf>
    <xf numFmtId="0" fontId="29" fillId="0" borderId="47" xfId="92" applyFont="1" applyBorder="1" applyProtection="1">
      <protection hidden="1"/>
    </xf>
    <xf numFmtId="4" fontId="4" fillId="0" borderId="0" xfId="81" applyNumberFormat="1" applyFont="1"/>
    <xf numFmtId="0" fontId="29" fillId="0" borderId="0" xfId="92" applyNumberFormat="1" applyFont="1" applyFill="1" applyAlignment="1" applyProtection="1">
      <alignment vertical="top" wrapText="1"/>
      <protection hidden="1"/>
    </xf>
    <xf numFmtId="0" fontId="29" fillId="0" borderId="0" xfId="92" applyNumberFormat="1" applyFont="1" applyFill="1" applyAlignment="1" applyProtection="1">
      <alignment vertical="top"/>
      <protection hidden="1"/>
    </xf>
    <xf numFmtId="0" fontId="33" fillId="0" borderId="0" xfId="92" applyNumberFormat="1" applyFont="1" applyFill="1" applyAlignment="1" applyProtection="1">
      <alignment vertical="top"/>
      <protection hidden="1"/>
    </xf>
    <xf numFmtId="0" fontId="29" fillId="0" borderId="28" xfId="92" applyNumberFormat="1" applyFont="1" applyFill="1" applyBorder="1" applyAlignment="1" applyProtection="1">
      <alignment horizontal="centerContinuous" vertical="top" wrapText="1"/>
      <protection hidden="1"/>
    </xf>
    <xf numFmtId="0" fontId="29" fillId="0" borderId="30" xfId="92" applyNumberFormat="1" applyFont="1" applyFill="1" applyBorder="1" applyAlignment="1" applyProtection="1">
      <alignment horizontal="center" vertical="center"/>
      <protection hidden="1"/>
    </xf>
    <xf numFmtId="0" fontId="29" fillId="0" borderId="47" xfId="92" applyNumberFormat="1" applyFont="1" applyFill="1" applyBorder="1" applyAlignment="1" applyProtection="1">
      <alignment horizontal="center" vertical="center"/>
      <protection hidden="1"/>
    </xf>
    <xf numFmtId="0" fontId="29" fillId="0" borderId="27" xfId="92" applyNumberFormat="1" applyFont="1" applyFill="1" applyBorder="1" applyAlignment="1" applyProtection="1">
      <alignment horizontal="center" vertical="center"/>
      <protection hidden="1"/>
    </xf>
    <xf numFmtId="0" fontId="33" fillId="0" borderId="26" xfId="92" applyNumberFormat="1" applyFont="1" applyFill="1" applyBorder="1" applyAlignment="1" applyProtection="1">
      <protection hidden="1"/>
    </xf>
    <xf numFmtId="0" fontId="33" fillId="0" borderId="21" xfId="92" applyNumberFormat="1" applyFont="1" applyFill="1" applyBorder="1" applyAlignment="1" applyProtection="1">
      <alignment horizontal="center" vertical="center" wrapText="1"/>
      <protection hidden="1"/>
    </xf>
    <xf numFmtId="0" fontId="33" fillId="0" borderId="20" xfId="92" applyNumberFormat="1" applyFont="1" applyFill="1" applyBorder="1" applyAlignment="1" applyProtection="1">
      <alignment horizontal="center" vertical="center" wrapText="1"/>
      <protection hidden="1"/>
    </xf>
    <xf numFmtId="0" fontId="33" fillId="0" borderId="15" xfId="92" applyNumberFormat="1" applyFont="1" applyFill="1" applyBorder="1" applyAlignment="1" applyProtection="1">
      <alignment horizontal="center" vertical="center" wrapText="1"/>
      <protection hidden="1"/>
    </xf>
    <xf numFmtId="0" fontId="33" fillId="0" borderId="17" xfId="92" applyNumberFormat="1" applyFont="1" applyFill="1" applyBorder="1" applyAlignment="1" applyProtection="1">
      <alignment horizontal="center" vertical="center" wrapText="1"/>
      <protection hidden="1"/>
    </xf>
    <xf numFmtId="0" fontId="33" fillId="0" borderId="1" xfId="92" applyNumberFormat="1" applyFont="1" applyFill="1" applyBorder="1" applyAlignment="1" applyProtection="1">
      <alignment horizontal="center" vertical="center" wrapText="1"/>
      <protection hidden="1"/>
    </xf>
    <xf numFmtId="0" fontId="33" fillId="0" borderId="24" xfId="92" applyNumberFormat="1" applyFont="1" applyFill="1" applyBorder="1" applyAlignment="1" applyProtection="1">
      <alignment horizontal="center" vertical="center" wrapText="1"/>
      <protection hidden="1"/>
    </xf>
    <xf numFmtId="0" fontId="33" fillId="0" borderId="16" xfId="92" applyNumberFormat="1" applyFont="1" applyFill="1" applyBorder="1" applyAlignment="1" applyProtection="1">
      <alignment horizontal="center" vertical="center" wrapText="1"/>
      <protection hidden="1"/>
    </xf>
    <xf numFmtId="0" fontId="33" fillId="0" borderId="22" xfId="92" applyNumberFormat="1" applyFont="1" applyFill="1" applyBorder="1" applyAlignment="1" applyProtection="1">
      <alignment horizontal="center"/>
      <protection hidden="1"/>
    </xf>
    <xf numFmtId="0" fontId="33" fillId="0" borderId="33" xfId="92" applyNumberFormat="1" applyFont="1" applyFill="1" applyBorder="1" applyAlignment="1" applyProtection="1">
      <alignment horizontal="center"/>
      <protection hidden="1"/>
    </xf>
    <xf numFmtId="0" fontId="29" fillId="0" borderId="26" xfId="92" applyNumberFormat="1" applyFont="1" applyFill="1" applyBorder="1" applyAlignment="1" applyProtection="1">
      <protection hidden="1"/>
    </xf>
    <xf numFmtId="180" fontId="33" fillId="0" borderId="24" xfId="92" applyNumberFormat="1" applyFont="1" applyFill="1" applyBorder="1" applyAlignment="1" applyProtection="1">
      <protection hidden="1"/>
    </xf>
    <xf numFmtId="0" fontId="29" fillId="0" borderId="0" xfId="92" applyNumberFormat="1" applyFont="1" applyFill="1" applyAlignment="1" applyProtection="1">
      <protection hidden="1"/>
    </xf>
    <xf numFmtId="180" fontId="33" fillId="0" borderId="45" xfId="92" applyNumberFormat="1" applyFont="1" applyFill="1" applyBorder="1" applyAlignment="1" applyProtection="1">
      <protection hidden="1"/>
    </xf>
    <xf numFmtId="0" fontId="29" fillId="0" borderId="28" xfId="92" applyNumberFormat="1" applyFont="1" applyFill="1" applyBorder="1" applyAlignment="1" applyProtection="1">
      <alignment vertical="top" wrapText="1"/>
      <protection hidden="1"/>
    </xf>
    <xf numFmtId="0" fontId="33" fillId="0" borderId="32" xfId="92" applyNumberFormat="1" applyFont="1" applyFill="1" applyBorder="1" applyAlignment="1" applyProtection="1">
      <alignment horizontal="center" vertical="center" wrapText="1"/>
      <protection hidden="1"/>
    </xf>
    <xf numFmtId="0" fontId="33" fillId="0" borderId="34" xfId="92" applyNumberFormat="1" applyFont="1" applyFill="1" applyBorder="1" applyAlignment="1" applyProtection="1">
      <alignment horizontal="center"/>
      <protection hidden="1"/>
    </xf>
    <xf numFmtId="0" fontId="33" fillId="0" borderId="1" xfId="92" applyNumberFormat="1" applyFont="1" applyFill="1" applyBorder="1" applyAlignment="1" applyProtection="1">
      <alignment horizontal="center"/>
      <protection hidden="1"/>
    </xf>
    <xf numFmtId="173" fontId="29" fillId="0" borderId="35" xfId="92" applyNumberFormat="1" applyFont="1" applyFill="1" applyBorder="1" applyAlignment="1" applyProtection="1">
      <protection hidden="1"/>
    </xf>
    <xf numFmtId="174" fontId="29" fillId="0" borderId="13" xfId="92" applyNumberFormat="1" applyFont="1" applyFill="1" applyBorder="1" applyAlignment="1" applyProtection="1">
      <protection hidden="1"/>
    </xf>
    <xf numFmtId="174" fontId="29" fillId="0" borderId="36" xfId="92" applyNumberFormat="1" applyFont="1" applyFill="1" applyBorder="1" applyAlignment="1" applyProtection="1">
      <protection hidden="1"/>
    </xf>
    <xf numFmtId="175" fontId="29" fillId="0" borderId="37" xfId="92" applyNumberFormat="1" applyFont="1" applyFill="1" applyBorder="1" applyAlignment="1" applyProtection="1">
      <protection hidden="1"/>
    </xf>
    <xf numFmtId="175" fontId="29" fillId="0" borderId="35" xfId="92" applyNumberFormat="1" applyFont="1" applyFill="1" applyBorder="1" applyAlignment="1" applyProtection="1">
      <protection hidden="1"/>
    </xf>
    <xf numFmtId="180" fontId="33" fillId="0" borderId="46" xfId="92" applyNumberFormat="1" applyFont="1" applyFill="1" applyBorder="1" applyAlignment="1" applyProtection="1">
      <protection hidden="1"/>
    </xf>
    <xf numFmtId="180" fontId="33" fillId="0" borderId="38" xfId="92" applyNumberFormat="1" applyFont="1" applyFill="1" applyBorder="1" applyAlignment="1" applyProtection="1">
      <protection hidden="1"/>
    </xf>
    <xf numFmtId="0" fontId="29" fillId="0" borderId="47" xfId="92" applyNumberFormat="1" applyFont="1" applyFill="1" applyBorder="1" applyAlignment="1" applyProtection="1">
      <alignment horizontal="center"/>
      <protection hidden="1"/>
    </xf>
    <xf numFmtId="0" fontId="33" fillId="0" borderId="1" xfId="0" applyFont="1" applyFill="1" applyBorder="1" applyAlignment="1">
      <alignment horizontal="center" vertical="center" wrapText="1"/>
    </xf>
    <xf numFmtId="181" fontId="45" fillId="0" borderId="1" xfId="80" applyNumberFormat="1" applyFont="1" applyFill="1" applyBorder="1" applyAlignment="1">
      <alignment horizontal="center" vertical="center"/>
    </xf>
    <xf numFmtId="0" fontId="3" fillId="0" borderId="0" xfId="81" applyFill="1" applyAlignment="1">
      <alignment vertical="center"/>
    </xf>
    <xf numFmtId="0" fontId="31" fillId="0" borderId="0" xfId="80" applyFont="1" applyFill="1" applyAlignment="1">
      <alignment vertical="center"/>
    </xf>
    <xf numFmtId="169" fontId="31" fillId="0" borderId="0" xfId="80" applyNumberFormat="1" applyFont="1" applyFill="1" applyAlignment="1">
      <alignment vertical="center"/>
    </xf>
    <xf numFmtId="0" fontId="30" fillId="0" borderId="0" xfId="80" applyFont="1" applyFill="1" applyAlignment="1">
      <alignment vertical="center"/>
    </xf>
    <xf numFmtId="0" fontId="31" fillId="0" borderId="0" xfId="80" applyFont="1" applyFill="1" applyAlignment="1">
      <alignment horizontal="right" vertical="center"/>
    </xf>
    <xf numFmtId="0" fontId="31" fillId="0" borderId="18" xfId="80" applyFont="1" applyFill="1" applyBorder="1" applyAlignment="1">
      <alignment horizontal="center" vertical="center" wrapText="1"/>
    </xf>
    <xf numFmtId="0" fontId="31" fillId="0" borderId="19" xfId="80" applyFont="1" applyFill="1" applyBorder="1" applyAlignment="1">
      <alignment horizontal="center" vertical="center"/>
    </xf>
    <xf numFmtId="0" fontId="31" fillId="0" borderId="20" xfId="80" applyFont="1" applyFill="1" applyBorder="1" applyAlignment="1">
      <alignment horizontal="center" vertical="center"/>
    </xf>
    <xf numFmtId="0" fontId="45" fillId="0" borderId="0" xfId="80" applyFont="1" applyFill="1" applyAlignment="1">
      <alignment vertical="center" wrapText="1"/>
    </xf>
    <xf numFmtId="0" fontId="45" fillId="0" borderId="0" xfId="80" applyFont="1" applyFill="1" applyAlignment="1">
      <alignment vertical="center"/>
    </xf>
    <xf numFmtId="170" fontId="45" fillId="0" borderId="0" xfId="80" applyNumberFormat="1" applyFont="1" applyFill="1" applyAlignment="1">
      <alignment vertical="center"/>
    </xf>
    <xf numFmtId="181" fontId="45" fillId="0" borderId="0" xfId="80" applyNumberFormat="1" applyFont="1" applyFill="1" applyAlignment="1">
      <alignment horizontal="center" vertical="center"/>
    </xf>
    <xf numFmtId="0" fontId="33" fillId="0" borderId="0" xfId="80" applyFont="1" applyFill="1" applyBorder="1" applyAlignment="1">
      <alignment horizontal="center" vertical="center" wrapText="1"/>
    </xf>
    <xf numFmtId="0" fontId="30" fillId="0" borderId="0" xfId="80" applyFont="1" applyFill="1" applyAlignment="1">
      <alignment vertical="center" wrapText="1"/>
    </xf>
    <xf numFmtId="0" fontId="29" fillId="0" borderId="0" xfId="80" applyFont="1" applyFill="1" applyBorder="1" applyAlignment="1">
      <alignment horizontal="center" vertical="center" wrapText="1"/>
    </xf>
    <xf numFmtId="0" fontId="31" fillId="0" borderId="0" xfId="80" applyFont="1" applyFill="1" applyAlignment="1">
      <alignment vertical="center" wrapText="1"/>
    </xf>
    <xf numFmtId="0" fontId="36" fillId="0" borderId="0" xfId="80" applyFont="1" applyFill="1" applyBorder="1" applyAlignment="1">
      <alignment vertical="center" wrapText="1"/>
    </xf>
    <xf numFmtId="0" fontId="46" fillId="0" borderId="0" xfId="80" applyFont="1" applyFill="1" applyBorder="1" applyAlignment="1">
      <alignment vertical="center" wrapText="1"/>
    </xf>
    <xf numFmtId="1" fontId="29" fillId="0" borderId="0" xfId="80" applyNumberFormat="1" applyFont="1" applyFill="1" applyBorder="1" applyAlignment="1">
      <alignment horizontal="center" vertical="center" wrapText="1"/>
    </xf>
    <xf numFmtId="0" fontId="46" fillId="0" borderId="0" xfId="80" applyFont="1" applyFill="1" applyBorder="1" applyAlignment="1">
      <alignment horizontal="justify" vertical="center"/>
    </xf>
    <xf numFmtId="0" fontId="36" fillId="0" borderId="0" xfId="80" applyFont="1" applyFill="1" applyBorder="1" applyAlignment="1">
      <alignment horizontal="justify" vertical="center"/>
    </xf>
    <xf numFmtId="0" fontId="46" fillId="0" borderId="0" xfId="50" applyFont="1" applyFill="1" applyAlignment="1">
      <alignment horizontal="justify" vertical="center" wrapText="1"/>
    </xf>
    <xf numFmtId="0" fontId="30" fillId="0" borderId="0" xfId="50" applyFont="1" applyFill="1" applyAlignment="1">
      <alignment vertical="center"/>
    </xf>
    <xf numFmtId="0" fontId="31" fillId="0" borderId="0" xfId="50" applyFont="1" applyFill="1" applyAlignment="1">
      <alignment vertical="center"/>
    </xf>
    <xf numFmtId="0" fontId="37" fillId="0" borderId="0" xfId="80" applyFont="1" applyFill="1" applyBorder="1" applyAlignment="1">
      <alignment horizontal="center" vertical="center" wrapText="1"/>
    </xf>
    <xf numFmtId="0" fontId="47" fillId="0" borderId="0" xfId="50" applyFont="1" applyFill="1" applyAlignment="1">
      <alignment vertical="center" wrapText="1"/>
    </xf>
    <xf numFmtId="0" fontId="32" fillId="0" borderId="0" xfId="50" applyFont="1" applyFill="1" applyAlignment="1">
      <alignment vertical="center"/>
    </xf>
    <xf numFmtId="0" fontId="29" fillId="0" borderId="0" xfId="80" applyFont="1" applyFill="1" applyBorder="1" applyAlignment="1" applyProtection="1">
      <alignment horizontal="center" vertical="center" wrapText="1"/>
      <protection locked="0"/>
    </xf>
    <xf numFmtId="0" fontId="31" fillId="0" borderId="0" xfId="50" applyFont="1" applyFill="1" applyAlignment="1" applyProtection="1">
      <alignment vertical="center" wrapText="1"/>
      <protection locked="0"/>
    </xf>
    <xf numFmtId="0" fontId="31" fillId="0" borderId="0" xfId="50" applyFont="1" applyFill="1" applyAlignment="1">
      <alignment vertical="center" wrapText="1"/>
    </xf>
    <xf numFmtId="0" fontId="32" fillId="0" borderId="0" xfId="87" applyFont="1" applyFill="1" applyBorder="1" applyAlignment="1">
      <alignment vertical="center" wrapText="1"/>
    </xf>
    <xf numFmtId="0" fontId="36" fillId="0" borderId="0" xfId="50" applyFont="1" applyFill="1" applyAlignment="1" applyProtection="1">
      <alignment vertical="center" wrapText="1"/>
      <protection locked="0"/>
    </xf>
    <xf numFmtId="0" fontId="30" fillId="0" borderId="0" xfId="80" applyFont="1" applyFill="1" applyBorder="1" applyAlignment="1">
      <alignment horizontal="center" vertical="center" wrapText="1"/>
    </xf>
    <xf numFmtId="0" fontId="46" fillId="0" borderId="0" xfId="80" applyFont="1" applyFill="1" applyBorder="1" applyAlignment="1">
      <alignment horizontal="justify" vertical="center" wrapText="1"/>
    </xf>
    <xf numFmtId="0" fontId="31" fillId="0" borderId="0" xfId="80" applyFont="1" applyFill="1" applyAlignment="1">
      <alignment horizontal="justify" vertical="center"/>
    </xf>
    <xf numFmtId="168" fontId="31" fillId="0" borderId="0" xfId="80" applyNumberFormat="1" applyFont="1" applyFill="1" applyAlignment="1">
      <alignment vertical="center"/>
    </xf>
    <xf numFmtId="2" fontId="31" fillId="0" borderId="0" xfId="80" applyNumberFormat="1" applyFont="1" applyFill="1" applyAlignment="1">
      <alignment vertical="center"/>
    </xf>
    <xf numFmtId="0" fontId="4" fillId="0" borderId="0" xfId="81" applyFont="1" applyFill="1" applyBorder="1" applyAlignment="1">
      <alignment vertical="center"/>
    </xf>
    <xf numFmtId="167" fontId="3" fillId="0" borderId="0" xfId="81" applyNumberFormat="1" applyFill="1" applyAlignment="1">
      <alignment vertical="center"/>
    </xf>
    <xf numFmtId="0" fontId="36" fillId="0" borderId="0" xfId="50" applyFont="1" applyFill="1" applyAlignment="1">
      <alignment horizontal="left" vertical="center" wrapText="1"/>
    </xf>
    <xf numFmtId="182" fontId="3" fillId="0" borderId="0" xfId="81" applyNumberFormat="1" applyFill="1" applyAlignment="1">
      <alignment vertical="center"/>
    </xf>
    <xf numFmtId="182" fontId="45" fillId="0" borderId="0" xfId="80" applyNumberFormat="1" applyFont="1" applyFill="1" applyAlignment="1">
      <alignment horizontal="left" vertical="center"/>
    </xf>
    <xf numFmtId="0" fontId="3" fillId="0" borderId="0" xfId="81" applyFill="1" applyAlignment="1">
      <alignment horizontal="right" vertical="center"/>
    </xf>
    <xf numFmtId="0" fontId="29" fillId="0" borderId="0" xfId="90" applyNumberFormat="1" applyFont="1" applyFill="1" applyAlignment="1" applyProtection="1">
      <alignment horizontal="right" vertical="top" wrapText="1"/>
      <protection hidden="1"/>
    </xf>
    <xf numFmtId="0" fontId="33" fillId="0" borderId="0" xfId="92" applyNumberFormat="1" applyFont="1" applyFill="1" applyBorder="1" applyAlignment="1" applyProtection="1">
      <protection hidden="1"/>
    </xf>
    <xf numFmtId="0" fontId="29" fillId="0" borderId="0" xfId="92" applyNumberFormat="1" applyFont="1" applyFill="1" applyBorder="1" applyAlignment="1" applyProtection="1">
      <protection hidden="1"/>
    </xf>
    <xf numFmtId="0" fontId="52" fillId="0" borderId="0" xfId="91" applyNumberFormat="1" applyFont="1" applyFill="1" applyBorder="1" applyAlignment="1" applyProtection="1">
      <alignment horizontal="center" vertical="center"/>
      <protection hidden="1"/>
    </xf>
    <xf numFmtId="175" fontId="29" fillId="0" borderId="1" xfId="92" applyNumberFormat="1" applyFont="1" applyFill="1" applyBorder="1" applyAlignment="1" applyProtection="1">
      <alignment horizontal="center" vertical="center"/>
      <protection hidden="1"/>
    </xf>
    <xf numFmtId="176" fontId="29" fillId="0" borderId="1" xfId="92" applyNumberFormat="1" applyFont="1" applyFill="1" applyBorder="1" applyAlignment="1" applyProtection="1">
      <alignment horizontal="center" vertical="center"/>
      <protection hidden="1"/>
    </xf>
    <xf numFmtId="177" fontId="29" fillId="0" borderId="1" xfId="92" applyNumberFormat="1" applyFont="1" applyFill="1" applyBorder="1" applyAlignment="1" applyProtection="1">
      <alignment horizontal="center" vertical="center"/>
      <protection hidden="1"/>
    </xf>
    <xf numFmtId="178" fontId="29" fillId="0" borderId="1" xfId="92" applyNumberFormat="1" applyFont="1" applyFill="1" applyBorder="1" applyAlignment="1" applyProtection="1">
      <alignment horizontal="center" vertical="center"/>
      <protection hidden="1"/>
    </xf>
    <xf numFmtId="175" fontId="52" fillId="0" borderId="1" xfId="91" applyNumberFormat="1" applyFont="1" applyFill="1" applyBorder="1" applyAlignment="1" applyProtection="1">
      <alignment horizontal="center" vertical="center"/>
      <protection hidden="1"/>
    </xf>
    <xf numFmtId="176" fontId="52" fillId="0" borderId="1" xfId="91" applyNumberFormat="1" applyFont="1" applyFill="1" applyBorder="1" applyAlignment="1" applyProtection="1">
      <alignment horizontal="center" vertical="center"/>
      <protection hidden="1"/>
    </xf>
    <xf numFmtId="177" fontId="52" fillId="0" borderId="1" xfId="91" applyNumberFormat="1" applyFont="1" applyFill="1" applyBorder="1" applyAlignment="1" applyProtection="1">
      <alignment horizontal="center" vertical="center"/>
      <protection hidden="1"/>
    </xf>
    <xf numFmtId="178" fontId="52" fillId="0" borderId="1" xfId="91" applyNumberFormat="1" applyFont="1" applyFill="1" applyBorder="1" applyAlignment="1" applyProtection="1">
      <alignment horizontal="center" vertical="center"/>
      <protection hidden="1"/>
    </xf>
    <xf numFmtId="180" fontId="33" fillId="0" borderId="1" xfId="92" applyNumberFormat="1" applyFont="1" applyFill="1" applyBorder="1" applyAlignment="1" applyProtection="1">
      <protection hidden="1"/>
    </xf>
    <xf numFmtId="0" fontId="29" fillId="0" borderId="0" xfId="90" applyFont="1" applyFill="1" applyProtection="1">
      <protection hidden="1"/>
    </xf>
    <xf numFmtId="0" fontId="29" fillId="0" borderId="0" xfId="90" applyFont="1" applyFill="1" applyAlignment="1" applyProtection="1">
      <alignment horizontal="right"/>
      <protection hidden="1"/>
    </xf>
    <xf numFmtId="0" fontId="29" fillId="0" borderId="0" xfId="90" applyFont="1" applyFill="1"/>
    <xf numFmtId="0" fontId="29" fillId="0" borderId="0" xfId="50" applyFont="1" applyFill="1" applyProtection="1">
      <protection hidden="1"/>
    </xf>
    <xf numFmtId="0" fontId="29" fillId="0" borderId="0" xfId="50" applyFont="1" applyFill="1"/>
    <xf numFmtId="0" fontId="29" fillId="0" borderId="0" xfId="92" applyFont="1" applyFill="1"/>
    <xf numFmtId="0" fontId="29" fillId="0" borderId="1" xfId="92" applyFont="1" applyFill="1" applyBorder="1" applyAlignment="1">
      <alignment horizontal="center" vertical="center"/>
    </xf>
    <xf numFmtId="0" fontId="49" fillId="0" borderId="0" xfId="91" applyFill="1" applyAlignment="1">
      <alignment horizontal="center" vertical="center"/>
    </xf>
    <xf numFmtId="179" fontId="29" fillId="0" borderId="1" xfId="92" applyNumberFormat="1" applyFont="1" applyFill="1" applyBorder="1" applyAlignment="1">
      <alignment horizontal="center" vertical="center"/>
    </xf>
    <xf numFmtId="179" fontId="52" fillId="0" borderId="1" xfId="91" applyNumberFormat="1" applyFont="1" applyFill="1" applyBorder="1" applyAlignment="1" applyProtection="1">
      <alignment horizontal="center" vertical="center"/>
      <protection hidden="1"/>
    </xf>
    <xf numFmtId="179" fontId="49" fillId="0" borderId="1" xfId="91" applyNumberFormat="1" applyFill="1" applyBorder="1" applyAlignment="1">
      <alignment horizontal="center" vertical="center"/>
    </xf>
    <xf numFmtId="179" fontId="11" fillId="0" borderId="1" xfId="91" applyNumberFormat="1" applyFont="1" applyFill="1" applyBorder="1" applyAlignment="1">
      <alignment horizontal="center" vertical="center"/>
    </xf>
    <xf numFmtId="179" fontId="29" fillId="0" borderId="1" xfId="92" applyNumberFormat="1" applyFont="1" applyFill="1" applyBorder="1" applyAlignment="1" applyProtection="1">
      <alignment horizontal="center" vertical="center"/>
      <protection hidden="1"/>
    </xf>
    <xf numFmtId="179" fontId="33" fillId="0" borderId="1" xfId="92" applyNumberFormat="1" applyFont="1" applyFill="1" applyBorder="1" applyAlignment="1" applyProtection="1">
      <alignment horizontal="center" vertical="center"/>
      <protection hidden="1"/>
    </xf>
    <xf numFmtId="179" fontId="33" fillId="0" borderId="1" xfId="92" applyNumberFormat="1" applyFont="1" applyFill="1" applyBorder="1" applyAlignment="1">
      <alignment horizontal="center" vertical="center"/>
    </xf>
    <xf numFmtId="0" fontId="29" fillId="0" borderId="0" xfId="50" applyFont="1" applyFill="1" applyAlignment="1">
      <alignment horizontal="center" vertical="center"/>
    </xf>
    <xf numFmtId="0" fontId="29" fillId="0" borderId="0" xfId="92" applyFont="1" applyFill="1" applyAlignment="1">
      <alignment horizontal="center" vertical="center"/>
    </xf>
    <xf numFmtId="0" fontId="29" fillId="0" borderId="13" xfId="92" applyFont="1" applyFill="1" applyBorder="1" applyAlignment="1">
      <alignment horizontal="center" vertical="center"/>
    </xf>
    <xf numFmtId="1" fontId="29" fillId="0" borderId="1" xfId="92" applyNumberFormat="1" applyFont="1" applyFill="1" applyBorder="1" applyAlignment="1">
      <alignment horizontal="center" vertical="center"/>
    </xf>
    <xf numFmtId="1" fontId="33" fillId="0" borderId="1" xfId="92" applyNumberFormat="1" applyFont="1" applyFill="1" applyBorder="1" applyAlignment="1">
      <alignment horizontal="center" vertical="center"/>
    </xf>
    <xf numFmtId="167" fontId="30" fillId="0" borderId="0" xfId="75" applyNumberFormat="1" applyFont="1" applyFill="1" applyBorder="1" applyAlignment="1">
      <alignment horizontal="center" vertical="center" wrapText="1"/>
    </xf>
    <xf numFmtId="167" fontId="31" fillId="0" borderId="0" xfId="75" applyNumberFormat="1" applyFont="1" applyFill="1" applyBorder="1" applyAlignment="1">
      <alignment horizontal="center" vertical="center" wrapText="1"/>
    </xf>
    <xf numFmtId="167" fontId="36" fillId="0" borderId="0" xfId="75" applyNumberFormat="1" applyFont="1" applyFill="1" applyBorder="1" applyAlignment="1">
      <alignment horizontal="center" vertical="center" wrapText="1"/>
    </xf>
    <xf numFmtId="167" fontId="46" fillId="0" borderId="0" xfId="75" applyNumberFormat="1" applyFont="1" applyFill="1" applyBorder="1" applyAlignment="1">
      <alignment horizontal="center" vertical="center" wrapText="1"/>
    </xf>
    <xf numFmtId="167" fontId="45" fillId="0" borderId="0" xfId="80" applyNumberFormat="1" applyFont="1" applyFill="1" applyAlignment="1">
      <alignment horizontal="center" vertical="center"/>
    </xf>
    <xf numFmtId="167" fontId="30" fillId="0" borderId="0" xfId="50" applyNumberFormat="1" applyFont="1" applyFill="1" applyAlignment="1">
      <alignment horizontal="center" vertical="center"/>
    </xf>
    <xf numFmtId="167" fontId="31" fillId="0" borderId="0" xfId="50" applyNumberFormat="1" applyFont="1" applyFill="1" applyAlignment="1">
      <alignment horizontal="center" vertical="center"/>
    </xf>
    <xf numFmtId="167" fontId="32" fillId="0" borderId="0" xfId="50" applyNumberFormat="1" applyFont="1" applyFill="1" applyAlignment="1">
      <alignment horizontal="center" vertical="center"/>
    </xf>
    <xf numFmtId="0" fontId="3" fillId="0" borderId="0" xfId="81" applyAlignment="1">
      <alignment horizontal="right"/>
    </xf>
    <xf numFmtId="0" fontId="30" fillId="0" borderId="1" xfId="81" applyFont="1" applyBorder="1" applyAlignment="1">
      <alignment horizontal="center" vertical="center"/>
    </xf>
    <xf numFmtId="0" fontId="34" fillId="0" borderId="1" xfId="81" applyFont="1" applyBorder="1" applyAlignment="1">
      <alignment horizontal="left" vertical="center" wrapText="1"/>
    </xf>
    <xf numFmtId="166" fontId="30" fillId="0" borderId="1" xfId="80" applyNumberFormat="1" applyFont="1" applyFill="1" applyBorder="1" applyAlignment="1">
      <alignment horizontal="center" vertical="center" wrapText="1"/>
    </xf>
    <xf numFmtId="167" fontId="3" fillId="0" borderId="1" xfId="81" applyNumberFormat="1" applyBorder="1"/>
    <xf numFmtId="0" fontId="31" fillId="0" borderId="1" xfId="81" applyFont="1" applyBorder="1" applyAlignment="1">
      <alignment horizontal="center" vertical="center"/>
    </xf>
    <xf numFmtId="166" fontId="31" fillId="0" borderId="1" xfId="81" applyNumberFormat="1" applyFont="1" applyFill="1" applyBorder="1" applyAlignment="1">
      <alignment horizontal="center" vertical="center"/>
    </xf>
    <xf numFmtId="167" fontId="3" fillId="0" borderId="1" xfId="81" applyNumberFormat="1" applyBorder="1" applyAlignment="1">
      <alignment horizontal="center" vertical="center"/>
    </xf>
    <xf numFmtId="166" fontId="30" fillId="0" borderId="1" xfId="81" applyNumberFormat="1" applyFont="1" applyBorder="1" applyAlignment="1">
      <alignment horizontal="center" vertical="center"/>
    </xf>
    <xf numFmtId="0" fontId="3" fillId="0" borderId="1" xfId="81" applyBorder="1" applyAlignment="1">
      <alignment wrapText="1"/>
    </xf>
    <xf numFmtId="0" fontId="31" fillId="0" borderId="1" xfId="81" applyFont="1" applyFill="1" applyBorder="1" applyAlignment="1">
      <alignment horizontal="center" vertical="center"/>
    </xf>
    <xf numFmtId="167" fontId="3" fillId="0" borderId="1" xfId="81" applyNumberFormat="1" applyBorder="1" applyAlignment="1">
      <alignment vertical="center"/>
    </xf>
    <xf numFmtId="168" fontId="3" fillId="0" borderId="1" xfId="81" applyNumberFormat="1" applyBorder="1"/>
    <xf numFmtId="0" fontId="30" fillId="0" borderId="1" xfId="81" applyFont="1" applyFill="1" applyBorder="1" applyAlignment="1">
      <alignment horizontal="center" vertical="center"/>
    </xf>
    <xf numFmtId="0" fontId="34" fillId="0" borderId="1" xfId="81" applyFont="1" applyFill="1" applyBorder="1" applyAlignment="1">
      <alignment horizontal="left" vertical="center" wrapText="1"/>
    </xf>
    <xf numFmtId="0" fontId="35" fillId="0" borderId="1" xfId="81" applyFont="1" applyFill="1" applyBorder="1" applyAlignment="1">
      <alignment horizontal="left" vertical="center" wrapText="1"/>
    </xf>
    <xf numFmtId="166" fontId="31" fillId="0" borderId="1" xfId="81" applyNumberFormat="1" applyFont="1" applyBorder="1" applyAlignment="1">
      <alignment horizontal="center" vertical="center"/>
    </xf>
    <xf numFmtId="0" fontId="34" fillId="0" borderId="1" xfId="81" applyFont="1" applyBorder="1" applyAlignment="1">
      <alignment vertical="top" wrapText="1"/>
    </xf>
    <xf numFmtId="0" fontId="4" fillId="0" borderId="1" xfId="81" applyFont="1" applyFill="1" applyBorder="1" applyAlignment="1">
      <alignment vertical="center" wrapText="1"/>
    </xf>
    <xf numFmtId="0" fontId="4" fillId="0" borderId="1" xfId="81" applyFont="1" applyBorder="1" applyAlignment="1">
      <alignment horizontal="center"/>
    </xf>
    <xf numFmtId="0" fontId="4" fillId="0" borderId="1" xfId="81" applyFont="1" applyBorder="1" applyAlignment="1">
      <alignment horizontal="justify"/>
    </xf>
    <xf numFmtId="166" fontId="39" fillId="0" borderId="1" xfId="81" applyNumberFormat="1" applyFont="1" applyBorder="1" applyAlignment="1">
      <alignment horizontal="center" vertical="center"/>
    </xf>
    <xf numFmtId="49" fontId="41" fillId="0" borderId="1" xfId="81" applyNumberFormat="1" applyFont="1" applyBorder="1" applyAlignment="1">
      <alignment horizontal="center" vertical="top"/>
    </xf>
    <xf numFmtId="0" fontId="42" fillId="0" borderId="1" xfId="81" applyFont="1" applyBorder="1" applyAlignment="1">
      <alignment horizontal="center" vertical="top" wrapText="1"/>
    </xf>
    <xf numFmtId="166" fontId="43" fillId="0" borderId="1" xfId="81" applyNumberFormat="1" applyFont="1" applyBorder="1" applyAlignment="1">
      <alignment horizontal="center" vertical="center"/>
    </xf>
    <xf numFmtId="167" fontId="3" fillId="0" borderId="1" xfId="81" applyNumberFormat="1" applyBorder="1" applyAlignment="1">
      <alignment horizontal="center"/>
    </xf>
    <xf numFmtId="3" fontId="4" fillId="0" borderId="1" xfId="81" applyNumberFormat="1" applyFont="1" applyBorder="1" applyAlignment="1">
      <alignment horizontal="center" vertical="center"/>
    </xf>
    <xf numFmtId="3" fontId="5" fillId="0" borderId="1" xfId="81" applyNumberFormat="1" applyFont="1" applyBorder="1" applyAlignment="1">
      <alignment horizontal="center" vertical="center"/>
    </xf>
    <xf numFmtId="171" fontId="4" fillId="0" borderId="1" xfId="81" applyNumberFormat="1" applyFont="1" applyBorder="1" applyAlignment="1">
      <alignment horizontal="center"/>
    </xf>
    <xf numFmtId="183" fontId="4" fillId="0" borderId="0" xfId="81" applyNumberFormat="1" applyFont="1"/>
    <xf numFmtId="184" fontId="4" fillId="0" borderId="0" xfId="81" applyNumberFormat="1" applyFont="1"/>
    <xf numFmtId="166" fontId="4" fillId="0" borderId="1" xfId="81" applyNumberFormat="1" applyFont="1" applyBorder="1" applyAlignment="1">
      <alignment horizontal="center"/>
    </xf>
    <xf numFmtId="0" fontId="29" fillId="0" borderId="1" xfId="92" applyNumberFormat="1" applyFont="1" applyFill="1" applyBorder="1" applyAlignment="1" applyProtection="1">
      <alignment horizontal="center" vertical="center"/>
      <protection hidden="1"/>
    </xf>
    <xf numFmtId="0" fontId="29" fillId="0" borderId="0" xfId="90" applyFont="1" applyAlignment="1" applyProtection="1">
      <alignment horizontal="center" vertical="center"/>
      <protection hidden="1"/>
    </xf>
    <xf numFmtId="0" fontId="29" fillId="0" borderId="0" xfId="90" applyFont="1" applyAlignment="1">
      <alignment horizontal="center" vertical="center"/>
    </xf>
    <xf numFmtId="0" fontId="29" fillId="0" borderId="0" xfId="92" applyNumberFormat="1" applyFont="1" applyFill="1" applyAlignment="1" applyProtection="1">
      <alignment horizontal="center" vertical="center" wrapText="1"/>
      <protection hidden="1"/>
    </xf>
    <xf numFmtId="0" fontId="29" fillId="0" borderId="0" xfId="92" applyFont="1" applyAlignment="1" applyProtection="1">
      <alignment horizontal="center" vertical="center"/>
      <protection hidden="1"/>
    </xf>
    <xf numFmtId="0" fontId="29" fillId="0" borderId="0" xfId="92" applyFont="1" applyAlignment="1">
      <alignment horizontal="center" vertical="center"/>
    </xf>
    <xf numFmtId="0" fontId="29" fillId="0" borderId="29" xfId="92" applyNumberFormat="1" applyFont="1" applyFill="1" applyBorder="1" applyAlignment="1" applyProtection="1">
      <alignment horizontal="center" vertical="center"/>
      <protection hidden="1"/>
    </xf>
    <xf numFmtId="0" fontId="29" fillId="0" borderId="31" xfId="92" applyNumberFormat="1" applyFont="1" applyFill="1" applyBorder="1" applyAlignment="1" applyProtection="1">
      <alignment horizontal="center" vertical="center"/>
      <protection hidden="1"/>
    </xf>
    <xf numFmtId="0" fontId="29" fillId="0" borderId="1" xfId="92" applyFont="1" applyBorder="1" applyAlignment="1">
      <alignment horizontal="center" vertical="center"/>
    </xf>
    <xf numFmtId="0" fontId="33" fillId="0" borderId="14" xfId="92" applyNumberFormat="1" applyFont="1" applyFill="1" applyBorder="1" applyAlignment="1" applyProtection="1">
      <alignment horizontal="center" vertical="center"/>
      <protection hidden="1"/>
    </xf>
    <xf numFmtId="0" fontId="33" fillId="0" borderId="13" xfId="92" applyNumberFormat="1" applyFont="1" applyFill="1" applyBorder="1" applyAlignment="1" applyProtection="1">
      <alignment horizontal="center" vertical="center"/>
      <protection hidden="1"/>
    </xf>
    <xf numFmtId="0" fontId="33" fillId="0" borderId="1" xfId="92" applyNumberFormat="1" applyFont="1" applyFill="1" applyBorder="1" applyAlignment="1" applyProtection="1">
      <alignment horizontal="center" vertical="center"/>
      <protection hidden="1"/>
    </xf>
    <xf numFmtId="0" fontId="33" fillId="0" borderId="1" xfId="92" applyFont="1" applyBorder="1" applyAlignment="1">
      <alignment horizontal="center" vertical="center"/>
    </xf>
    <xf numFmtId="176" fontId="29" fillId="0" borderId="39" xfId="92" applyNumberFormat="1" applyFont="1" applyFill="1" applyBorder="1" applyAlignment="1" applyProtection="1">
      <alignment horizontal="center" vertical="center"/>
      <protection hidden="1"/>
    </xf>
    <xf numFmtId="176" fontId="29" fillId="0" borderId="40" xfId="92" applyNumberFormat="1" applyFont="1" applyFill="1" applyBorder="1" applyAlignment="1" applyProtection="1">
      <alignment horizontal="center" vertical="center"/>
      <protection hidden="1"/>
    </xf>
    <xf numFmtId="177" fontId="29" fillId="0" borderId="40" xfId="92" applyNumberFormat="1" applyFont="1" applyFill="1" applyBorder="1" applyAlignment="1" applyProtection="1">
      <alignment horizontal="center" vertical="center"/>
      <protection hidden="1"/>
    </xf>
    <xf numFmtId="178" fontId="29" fillId="0" borderId="40" xfId="92" applyNumberFormat="1" applyFont="1" applyFill="1" applyBorder="1" applyAlignment="1" applyProtection="1">
      <alignment horizontal="center" vertical="center"/>
      <protection hidden="1"/>
    </xf>
    <xf numFmtId="176" fontId="29" fillId="0" borderId="35" xfId="92" applyNumberFormat="1" applyFont="1" applyFill="1" applyBorder="1" applyAlignment="1" applyProtection="1">
      <alignment horizontal="center" vertical="center"/>
      <protection hidden="1"/>
    </xf>
    <xf numFmtId="179" fontId="33" fillId="0" borderId="36" xfId="92" applyNumberFormat="1" applyFont="1" applyFill="1" applyBorder="1" applyAlignment="1" applyProtection="1">
      <alignment horizontal="center" vertical="center"/>
      <protection hidden="1"/>
    </xf>
    <xf numFmtId="179" fontId="33" fillId="0" borderId="39" xfId="92" applyNumberFormat="1" applyFont="1" applyFill="1" applyBorder="1" applyAlignment="1" applyProtection="1">
      <alignment horizontal="center" vertical="center"/>
      <protection hidden="1"/>
    </xf>
    <xf numFmtId="176" fontId="33" fillId="0" borderId="23" xfId="92" applyNumberFormat="1" applyFont="1" applyFill="1" applyBorder="1" applyAlignment="1" applyProtection="1">
      <alignment horizontal="center" vertical="center"/>
      <protection hidden="1"/>
    </xf>
    <xf numFmtId="177" fontId="33" fillId="0" borderId="23" xfId="92" applyNumberFormat="1" applyFont="1" applyFill="1" applyBorder="1" applyAlignment="1" applyProtection="1">
      <alignment horizontal="center" vertical="center"/>
      <protection hidden="1"/>
    </xf>
    <xf numFmtId="178" fontId="33" fillId="0" borderId="23" xfId="92" applyNumberFormat="1" applyFont="1" applyFill="1" applyBorder="1" applyAlignment="1" applyProtection="1">
      <alignment horizontal="center" vertical="center"/>
      <protection hidden="1"/>
    </xf>
    <xf numFmtId="179" fontId="33" fillId="0" borderId="23" xfId="92" applyNumberFormat="1" applyFont="1" applyFill="1" applyBorder="1" applyAlignment="1" applyProtection="1">
      <alignment horizontal="center" vertical="center"/>
      <protection hidden="1"/>
    </xf>
    <xf numFmtId="0" fontId="33" fillId="0" borderId="23" xfId="92" applyNumberFormat="1" applyFont="1" applyFill="1" applyBorder="1" applyAlignment="1" applyProtection="1">
      <alignment horizontal="center" vertical="center"/>
      <protection hidden="1"/>
    </xf>
    <xf numFmtId="176" fontId="51" fillId="0" borderId="23" xfId="92" applyNumberFormat="1" applyFont="1" applyFill="1" applyBorder="1" applyAlignment="1" applyProtection="1">
      <alignment horizontal="center" vertical="center"/>
      <protection hidden="1"/>
    </xf>
    <xf numFmtId="177" fontId="51" fillId="0" borderId="23" xfId="92" applyNumberFormat="1" applyFont="1" applyFill="1" applyBorder="1" applyAlignment="1" applyProtection="1">
      <alignment horizontal="center" vertical="center"/>
      <protection hidden="1"/>
    </xf>
    <xf numFmtId="178" fontId="51" fillId="0" borderId="23" xfId="92" applyNumberFormat="1" applyFont="1" applyFill="1" applyBorder="1" applyAlignment="1" applyProtection="1">
      <alignment horizontal="center" vertical="center"/>
      <protection hidden="1"/>
    </xf>
    <xf numFmtId="179" fontId="51" fillId="0" borderId="23" xfId="92" applyNumberFormat="1" applyFont="1" applyFill="1" applyBorder="1" applyAlignment="1" applyProtection="1">
      <alignment horizontal="center" vertical="center"/>
      <protection hidden="1"/>
    </xf>
    <xf numFmtId="0" fontId="51" fillId="0" borderId="23" xfId="92" applyNumberFormat="1" applyFont="1" applyFill="1" applyBorder="1" applyAlignment="1" applyProtection="1">
      <alignment horizontal="center" vertical="center"/>
      <protection hidden="1"/>
    </xf>
    <xf numFmtId="176" fontId="29" fillId="0" borderId="23" xfId="92" applyNumberFormat="1" applyFont="1" applyFill="1" applyBorder="1" applyAlignment="1" applyProtection="1">
      <alignment horizontal="center" vertical="center"/>
      <protection hidden="1"/>
    </xf>
    <xf numFmtId="177" fontId="29" fillId="0" borderId="23" xfId="92" applyNumberFormat="1" applyFont="1" applyFill="1" applyBorder="1" applyAlignment="1" applyProtection="1">
      <alignment horizontal="center" vertical="center"/>
      <protection hidden="1"/>
    </xf>
    <xf numFmtId="178" fontId="29" fillId="0" borderId="23" xfId="92" applyNumberFormat="1" applyFont="1" applyFill="1" applyBorder="1" applyAlignment="1" applyProtection="1">
      <alignment horizontal="center" vertical="center"/>
      <protection hidden="1"/>
    </xf>
    <xf numFmtId="179" fontId="29" fillId="0" borderId="23" xfId="92" applyNumberFormat="1" applyFont="1" applyFill="1" applyBorder="1" applyAlignment="1" applyProtection="1">
      <alignment horizontal="center" vertical="center"/>
      <protection hidden="1"/>
    </xf>
    <xf numFmtId="0" fontId="29" fillId="0" borderId="23" xfId="92" applyNumberFormat="1" applyFont="1" applyFill="1" applyBorder="1" applyAlignment="1" applyProtection="1">
      <alignment horizontal="center" vertical="center"/>
      <protection hidden="1"/>
    </xf>
    <xf numFmtId="176" fontId="29" fillId="0" borderId="44" xfId="92" applyNumberFormat="1" applyFont="1" applyFill="1" applyBorder="1" applyAlignment="1" applyProtection="1">
      <alignment horizontal="center" vertical="center"/>
      <protection hidden="1"/>
    </xf>
    <xf numFmtId="177" fontId="29" fillId="0" borderId="44" xfId="92" applyNumberFormat="1" applyFont="1" applyFill="1" applyBorder="1" applyAlignment="1" applyProtection="1">
      <alignment horizontal="center" vertical="center"/>
      <protection hidden="1"/>
    </xf>
    <xf numFmtId="178" fontId="29" fillId="0" borderId="44" xfId="92" applyNumberFormat="1" applyFont="1" applyFill="1" applyBorder="1" applyAlignment="1" applyProtection="1">
      <alignment horizontal="center" vertical="center"/>
      <protection hidden="1"/>
    </xf>
    <xf numFmtId="179" fontId="29" fillId="0" borderId="44" xfId="92" applyNumberFormat="1" applyFont="1" applyFill="1" applyBorder="1" applyAlignment="1" applyProtection="1">
      <alignment horizontal="center" vertical="center"/>
      <protection hidden="1"/>
    </xf>
    <xf numFmtId="0" fontId="29" fillId="0" borderId="44" xfId="92" applyNumberFormat="1" applyFont="1" applyFill="1" applyBorder="1" applyAlignment="1" applyProtection="1">
      <alignment horizontal="center" vertical="center"/>
      <protection hidden="1"/>
    </xf>
    <xf numFmtId="180" fontId="33" fillId="0" borderId="15" xfId="92" applyNumberFormat="1" applyFont="1" applyFill="1" applyBorder="1" applyAlignment="1" applyProtection="1">
      <alignment horizontal="center" vertical="center"/>
      <protection hidden="1"/>
    </xf>
    <xf numFmtId="180" fontId="33" fillId="0" borderId="14" xfId="92" applyNumberFormat="1" applyFont="1" applyFill="1" applyBorder="1" applyAlignment="1" applyProtection="1">
      <alignment horizontal="center" vertical="center"/>
      <protection hidden="1"/>
    </xf>
    <xf numFmtId="179" fontId="33" fillId="0" borderId="15" xfId="92" applyNumberFormat="1" applyFont="1" applyFill="1" applyBorder="1" applyAlignment="1" applyProtection="1">
      <alignment horizontal="center" vertical="center"/>
      <protection hidden="1"/>
    </xf>
    <xf numFmtId="180" fontId="33" fillId="0" borderId="40" xfId="92" applyNumberFormat="1" applyFont="1" applyFill="1" applyBorder="1" applyAlignment="1" applyProtection="1">
      <alignment horizontal="center" vertical="center"/>
      <protection hidden="1"/>
    </xf>
    <xf numFmtId="180" fontId="33" fillId="0" borderId="44" xfId="92" applyNumberFormat="1" applyFont="1" applyFill="1" applyBorder="1" applyAlignment="1" applyProtection="1">
      <alignment horizontal="center" vertical="center"/>
      <protection hidden="1"/>
    </xf>
    <xf numFmtId="180" fontId="33" fillId="0" borderId="45" xfId="92" applyNumberFormat="1" applyFont="1" applyFill="1" applyBorder="1" applyAlignment="1" applyProtection="1">
      <alignment horizontal="center" vertical="center"/>
      <protection hidden="1"/>
    </xf>
    <xf numFmtId="180" fontId="33" fillId="0" borderId="39" xfId="92" applyNumberFormat="1" applyFont="1" applyFill="1" applyBorder="1" applyAlignment="1" applyProtection="1">
      <alignment horizontal="center" vertical="center"/>
      <protection hidden="1"/>
    </xf>
    <xf numFmtId="185" fontId="29" fillId="0" borderId="0" xfId="92" applyNumberFormat="1" applyFont="1"/>
    <xf numFmtId="0" fontId="29" fillId="0" borderId="0" xfId="90" applyFont="1" applyAlignment="1" applyProtection="1">
      <alignment horizontal="right" vertical="center"/>
      <protection hidden="1"/>
    </xf>
    <xf numFmtId="0" fontId="29" fillId="0" borderId="0" xfId="50" applyFont="1" applyFill="1" applyAlignment="1" applyProtection="1">
      <alignment horizontal="center" vertical="center"/>
      <protection hidden="1"/>
    </xf>
    <xf numFmtId="0" fontId="33" fillId="0" borderId="0" xfId="92" applyNumberFormat="1" applyFont="1" applyFill="1" applyAlignment="1" applyProtection="1">
      <alignment horizontal="center" vertical="center"/>
      <protection hidden="1"/>
    </xf>
    <xf numFmtId="0" fontId="29" fillId="0" borderId="0" xfId="92" applyNumberFormat="1" applyFont="1" applyFill="1" applyAlignment="1" applyProtection="1">
      <alignment horizontal="center" vertical="center"/>
      <protection hidden="1"/>
    </xf>
    <xf numFmtId="180" fontId="33" fillId="0" borderId="1" xfId="92" applyNumberFormat="1" applyFont="1" applyFill="1" applyBorder="1" applyAlignment="1" applyProtection="1">
      <alignment horizontal="center" vertical="center"/>
      <protection hidden="1"/>
    </xf>
    <xf numFmtId="0" fontId="29" fillId="0" borderId="0" xfId="90" applyFont="1" applyFill="1" applyAlignment="1" applyProtection="1">
      <alignment horizontal="right" vertical="center"/>
      <protection hidden="1"/>
    </xf>
    <xf numFmtId="0" fontId="29" fillId="0" borderId="0" xfId="90" applyNumberFormat="1" applyFont="1" applyFill="1" applyAlignment="1" applyProtection="1">
      <alignment horizontal="right" vertical="center"/>
      <protection hidden="1"/>
    </xf>
    <xf numFmtId="0" fontId="29" fillId="0" borderId="0" xfId="90" applyNumberFormat="1" applyFont="1" applyFill="1" applyAlignment="1" applyProtection="1">
      <alignment horizontal="right" vertical="center" wrapText="1"/>
      <protection hidden="1"/>
    </xf>
    <xf numFmtId="0" fontId="29" fillId="0" borderId="0" xfId="92" applyFont="1" applyFill="1" applyAlignment="1" applyProtection="1">
      <alignment horizontal="center" vertical="center"/>
      <protection hidden="1"/>
    </xf>
    <xf numFmtId="0" fontId="29" fillId="0" borderId="13" xfId="92" applyNumberFormat="1" applyFont="1" applyFill="1" applyBorder="1" applyAlignment="1" applyProtection="1">
      <alignment horizontal="center" vertical="center"/>
      <protection hidden="1"/>
    </xf>
    <xf numFmtId="0" fontId="29" fillId="0" borderId="47" xfId="92" applyFont="1" applyFill="1" applyBorder="1" applyAlignment="1" applyProtection="1">
      <alignment horizontal="center" vertical="center"/>
      <protection hidden="1"/>
    </xf>
    <xf numFmtId="0" fontId="29" fillId="0" borderId="25" xfId="92" applyFont="1" applyFill="1" applyBorder="1" applyAlignment="1" applyProtection="1">
      <alignment horizontal="center" vertical="center"/>
      <protection hidden="1"/>
    </xf>
    <xf numFmtId="49" fontId="29" fillId="0" borderId="1" xfId="92" applyNumberFormat="1" applyFont="1" applyFill="1" applyBorder="1" applyAlignment="1" applyProtection="1">
      <alignment horizontal="center" vertical="center"/>
      <protection hidden="1"/>
    </xf>
    <xf numFmtId="179" fontId="29" fillId="0" borderId="1" xfId="92" applyNumberFormat="1" applyFont="1" applyBorder="1" applyAlignment="1">
      <alignment horizontal="center" vertical="center"/>
    </xf>
    <xf numFmtId="179" fontId="51" fillId="0" borderId="1" xfId="92" applyNumberFormat="1" applyFont="1" applyFill="1" applyBorder="1" applyAlignment="1" applyProtection="1">
      <alignment horizontal="center" vertical="center"/>
      <protection hidden="1"/>
    </xf>
    <xf numFmtId="179" fontId="33" fillId="0" borderId="1" xfId="92" applyNumberFormat="1" applyFont="1" applyBorder="1" applyAlignment="1">
      <alignment horizontal="center" vertical="center"/>
    </xf>
    <xf numFmtId="0" fontId="3" fillId="0" borderId="0" xfId="81" applyFill="1"/>
    <xf numFmtId="0" fontId="31" fillId="0" borderId="0" xfId="80" applyFont="1" applyFill="1"/>
    <xf numFmtId="0" fontId="3" fillId="0" borderId="0" xfId="81" applyFill="1" applyAlignment="1">
      <alignment horizontal="right"/>
    </xf>
    <xf numFmtId="0" fontId="53" fillId="0" borderId="0" xfId="0" applyFont="1" applyAlignment="1">
      <alignment horizontal="right" vertical="center"/>
    </xf>
    <xf numFmtId="0" fontId="54" fillId="0" borderId="0" xfId="0" applyFont="1"/>
    <xf numFmtId="0" fontId="55" fillId="0" borderId="0" xfId="0" applyFont="1"/>
    <xf numFmtId="0" fontId="56" fillId="0" borderId="0" xfId="0" applyFont="1"/>
    <xf numFmtId="0" fontId="29" fillId="0" borderId="0" xfId="0" applyFont="1"/>
    <xf numFmtId="0" fontId="29" fillId="0" borderId="1" xfId="0" applyFont="1" applyBorder="1" applyAlignment="1">
      <alignment horizontal="center" wrapText="1"/>
    </xf>
    <xf numFmtId="0" fontId="29" fillId="0" borderId="1" xfId="0" applyFont="1" applyBorder="1" applyAlignment="1">
      <alignment wrapText="1"/>
    </xf>
    <xf numFmtId="0" fontId="29" fillId="0" borderId="1" xfId="0" applyFont="1" applyBorder="1" applyAlignment="1">
      <alignment vertical="center" wrapText="1"/>
    </xf>
    <xf numFmtId="0" fontId="29" fillId="0" borderId="1" xfId="0" applyFont="1" applyBorder="1" applyAlignment="1">
      <alignment horizontal="center" vertical="center" wrapText="1"/>
    </xf>
    <xf numFmtId="2" fontId="29" fillId="0" borderId="1" xfId="0" applyNumberFormat="1" applyFont="1" applyBorder="1" applyAlignment="1">
      <alignment horizontal="center" vertical="center"/>
    </xf>
    <xf numFmtId="0" fontId="33" fillId="0" borderId="1" xfId="0" applyFont="1" applyBorder="1" applyAlignment="1">
      <alignment wrapText="1"/>
    </xf>
    <xf numFmtId="0" fontId="33" fillId="0" borderId="1" xfId="0" applyFont="1" applyBorder="1" applyAlignment="1">
      <alignment horizontal="center" wrapText="1"/>
    </xf>
    <xf numFmtId="2" fontId="33" fillId="0" borderId="1" xfId="0" applyNumberFormat="1" applyFont="1" applyBorder="1" applyAlignment="1">
      <alignment horizontal="center" vertical="center"/>
    </xf>
    <xf numFmtId="2" fontId="55" fillId="0" borderId="0" xfId="0" applyNumberFormat="1" applyFont="1"/>
    <xf numFmtId="0" fontId="33" fillId="0" borderId="1" xfId="0" applyFont="1" applyBorder="1" applyAlignment="1">
      <alignment vertical="center" wrapText="1"/>
    </xf>
    <xf numFmtId="0" fontId="57" fillId="0" borderId="0" xfId="0" applyFont="1"/>
    <xf numFmtId="2" fontId="33" fillId="0" borderId="1" xfId="0" applyNumberFormat="1" applyFont="1" applyBorder="1" applyAlignment="1">
      <alignment horizontal="center" vertical="center" wrapText="1"/>
    </xf>
    <xf numFmtId="0" fontId="36" fillId="0" borderId="1" xfId="0" applyFont="1" applyBorder="1" applyAlignment="1">
      <alignment horizontal="center" vertical="center" wrapText="1"/>
    </xf>
    <xf numFmtId="0" fontId="29" fillId="28" borderId="1" xfId="0" applyFont="1" applyFill="1" applyBorder="1" applyAlignment="1">
      <alignment horizontal="center" vertical="center" wrapText="1"/>
    </xf>
    <xf numFmtId="0" fontId="29" fillId="28" borderId="1" xfId="0" applyFont="1" applyFill="1" applyBorder="1" applyAlignment="1">
      <alignment vertical="center" wrapText="1"/>
    </xf>
    <xf numFmtId="0" fontId="53" fillId="28" borderId="0" xfId="0" applyFont="1" applyFill="1" applyAlignment="1">
      <alignment horizontal="center" vertical="center"/>
    </xf>
    <xf numFmtId="0" fontId="56" fillId="28" borderId="0" xfId="0" applyFont="1" applyFill="1" applyAlignment="1">
      <alignment horizontal="center" vertical="center"/>
    </xf>
    <xf numFmtId="0" fontId="33" fillId="28" borderId="1" xfId="0" applyFont="1" applyFill="1" applyBorder="1" applyAlignment="1">
      <alignment horizontal="center" vertical="center" wrapText="1"/>
    </xf>
    <xf numFmtId="0" fontId="55" fillId="28" borderId="0" xfId="0" applyFont="1" applyFill="1" applyAlignment="1">
      <alignment horizontal="center" vertical="center"/>
    </xf>
    <xf numFmtId="0" fontId="56" fillId="0" borderId="0" xfId="0" applyFont="1" applyAlignment="1">
      <alignment vertical="center"/>
    </xf>
    <xf numFmtId="0" fontId="55" fillId="0" borderId="0" xfId="0" applyFont="1" applyAlignment="1">
      <alignment vertical="center"/>
    </xf>
    <xf numFmtId="0" fontId="58" fillId="0" borderId="0" xfId="93" applyNumberFormat="1" applyFont="1" applyFill="1" applyAlignment="1" applyProtection="1">
      <protection hidden="1"/>
    </xf>
    <xf numFmtId="0" fontId="59" fillId="0" borderId="0" xfId="93" applyFont="1" applyProtection="1">
      <protection hidden="1"/>
    </xf>
    <xf numFmtId="0" fontId="59" fillId="0" borderId="0" xfId="93" applyFont="1" applyAlignment="1" applyProtection="1">
      <alignment horizontal="right"/>
      <protection hidden="1"/>
    </xf>
    <xf numFmtId="0" fontId="29" fillId="0" borderId="0" xfId="93" applyNumberFormat="1" applyFont="1" applyFill="1" applyAlignment="1" applyProtection="1">
      <alignment horizontal="right"/>
      <protection hidden="1"/>
    </xf>
    <xf numFmtId="0" fontId="29" fillId="0" borderId="0" xfId="93" applyFont="1" applyAlignment="1" applyProtection="1">
      <alignment horizontal="right"/>
      <protection hidden="1"/>
    </xf>
    <xf numFmtId="0" fontId="59" fillId="0" borderId="0" xfId="93" applyFont="1"/>
    <xf numFmtId="0" fontId="58" fillId="0" borderId="0" xfId="93" applyNumberFormat="1" applyFont="1" applyFill="1" applyAlignment="1" applyProtection="1">
      <alignment horizontal="centerContinuous" vertical="center"/>
      <protection hidden="1"/>
    </xf>
    <xf numFmtId="0" fontId="59" fillId="0" borderId="0" xfId="93" applyNumberFormat="1" applyFont="1" applyFill="1" applyAlignment="1" applyProtection="1">
      <alignment horizontal="centerContinuous"/>
      <protection hidden="1"/>
    </xf>
    <xf numFmtId="0" fontId="59" fillId="0" borderId="0" xfId="93" applyNumberFormat="1" applyFont="1" applyFill="1" applyAlignment="1" applyProtection="1">
      <alignment vertical="top" wrapText="1"/>
      <protection hidden="1"/>
    </xf>
    <xf numFmtId="0" fontId="59" fillId="0" borderId="0" xfId="93" applyNumberFormat="1" applyFont="1" applyFill="1" applyAlignment="1" applyProtection="1">
      <alignment horizontal="right"/>
      <protection hidden="1"/>
    </xf>
    <xf numFmtId="0" fontId="59" fillId="0" borderId="0" xfId="93" applyFont="1" applyAlignment="1">
      <alignment horizontal="center"/>
    </xf>
    <xf numFmtId="0" fontId="52" fillId="0" borderId="0" xfId="95" applyNumberFormat="1" applyFont="1" applyFill="1" applyAlignment="1" applyProtection="1">
      <alignment vertical="top" wrapText="1"/>
      <protection hidden="1"/>
    </xf>
    <xf numFmtId="0" fontId="52" fillId="0" borderId="0" xfId="95" applyFont="1"/>
    <xf numFmtId="0" fontId="52" fillId="0" borderId="0" xfId="95" applyFont="1" applyAlignment="1">
      <alignment horizontal="center"/>
    </xf>
    <xf numFmtId="0" fontId="52" fillId="0" borderId="0" xfId="95" applyNumberFormat="1" applyFont="1" applyFill="1" applyAlignment="1" applyProtection="1">
      <alignment vertical="top"/>
      <protection hidden="1"/>
    </xf>
    <xf numFmtId="0" fontId="52" fillId="0" borderId="28" xfId="95" applyNumberFormat="1" applyFont="1" applyFill="1" applyBorder="1" applyAlignment="1" applyProtection="1">
      <alignment vertical="top" wrapText="1"/>
      <protection hidden="1"/>
    </xf>
    <xf numFmtId="0" fontId="52" fillId="0" borderId="29" xfId="95" applyNumberFormat="1" applyFont="1" applyFill="1" applyBorder="1" applyAlignment="1" applyProtection="1">
      <alignment horizontal="center" vertical="top"/>
      <protection hidden="1"/>
    </xf>
    <xf numFmtId="0" fontId="52" fillId="0" borderId="30" xfId="95" applyNumberFormat="1" applyFont="1" applyFill="1" applyBorder="1" applyAlignment="1" applyProtection="1">
      <alignment horizontal="center" vertical="top"/>
      <protection hidden="1"/>
    </xf>
    <xf numFmtId="0" fontId="52" fillId="0" borderId="31" xfId="95" applyNumberFormat="1" applyFont="1" applyFill="1" applyBorder="1" applyAlignment="1" applyProtection="1">
      <alignment horizontal="center" vertical="top"/>
      <protection hidden="1"/>
    </xf>
    <xf numFmtId="0" fontId="52" fillId="0" borderId="47" xfId="95" applyNumberFormat="1" applyFont="1" applyFill="1" applyBorder="1" applyAlignment="1" applyProtection="1">
      <alignment horizontal="center" vertical="top"/>
      <protection hidden="1"/>
    </xf>
    <xf numFmtId="0" fontId="52" fillId="0" borderId="1" xfId="95" applyNumberFormat="1" applyFont="1" applyFill="1" applyBorder="1" applyAlignment="1" applyProtection="1">
      <alignment horizontal="center" vertical="center"/>
      <protection hidden="1"/>
    </xf>
    <xf numFmtId="0" fontId="11" fillId="0" borderId="1" xfId="95" applyBorder="1"/>
    <xf numFmtId="0" fontId="11" fillId="0" borderId="0" xfId="95"/>
    <xf numFmtId="0" fontId="60" fillId="0" borderId="26" xfId="95" applyNumberFormat="1" applyFont="1" applyFill="1" applyBorder="1" applyAlignment="1" applyProtection="1">
      <protection hidden="1"/>
    </xf>
    <xf numFmtId="0" fontId="60" fillId="0" borderId="20" xfId="95" applyNumberFormat="1" applyFont="1" applyFill="1" applyBorder="1" applyAlignment="1" applyProtection="1">
      <alignment horizontal="center" vertical="center" wrapText="1"/>
      <protection hidden="1"/>
    </xf>
    <xf numFmtId="0" fontId="60" fillId="0" borderId="32" xfId="95" applyNumberFormat="1" applyFont="1" applyFill="1" applyBorder="1" applyAlignment="1" applyProtection="1">
      <alignment horizontal="center" vertical="center" wrapText="1"/>
      <protection hidden="1"/>
    </xf>
    <xf numFmtId="0" fontId="60" fillId="0" borderId="17" xfId="95" applyNumberFormat="1" applyFont="1" applyFill="1" applyBorder="1" applyAlignment="1" applyProtection="1">
      <alignment horizontal="center" vertical="center" wrapText="1"/>
      <protection hidden="1"/>
    </xf>
    <xf numFmtId="0" fontId="60" fillId="0" borderId="15" xfId="95" applyNumberFormat="1" applyFont="1" applyFill="1" applyBorder="1" applyAlignment="1" applyProtection="1">
      <alignment horizontal="center" vertical="center" wrapText="1"/>
      <protection hidden="1"/>
    </xf>
    <xf numFmtId="0" fontId="60" fillId="0" borderId="16" xfId="95" applyNumberFormat="1" applyFont="1" applyFill="1" applyBorder="1" applyAlignment="1" applyProtection="1">
      <alignment horizontal="center" vertical="center" wrapText="1"/>
      <protection hidden="1"/>
    </xf>
    <xf numFmtId="0" fontId="60" fillId="0" borderId="24" xfId="95" applyNumberFormat="1" applyFont="1" applyFill="1" applyBorder="1" applyAlignment="1" applyProtection="1">
      <alignment horizontal="center" vertical="center" wrapText="1"/>
      <protection hidden="1"/>
    </xf>
    <xf numFmtId="0" fontId="60" fillId="0" borderId="22" xfId="95" applyNumberFormat="1" applyFont="1" applyFill="1" applyBorder="1" applyAlignment="1" applyProtection="1">
      <alignment horizontal="center"/>
      <protection hidden="1"/>
    </xf>
    <xf numFmtId="0" fontId="60" fillId="0" borderId="33" xfId="95" applyNumberFormat="1" applyFont="1" applyFill="1" applyBorder="1" applyAlignment="1" applyProtection="1">
      <alignment horizontal="center"/>
      <protection hidden="1"/>
    </xf>
    <xf numFmtId="0" fontId="60" fillId="0" borderId="34" xfId="95" applyNumberFormat="1" applyFont="1" applyFill="1" applyBorder="1" applyAlignment="1" applyProtection="1">
      <alignment horizontal="center"/>
      <protection hidden="1"/>
    </xf>
    <xf numFmtId="0" fontId="60" fillId="0" borderId="14" xfId="95" applyNumberFormat="1" applyFont="1" applyFill="1" applyBorder="1" applyAlignment="1" applyProtection="1">
      <alignment horizontal="center"/>
      <protection hidden="1"/>
    </xf>
    <xf numFmtId="0" fontId="60" fillId="0" borderId="13" xfId="95" applyNumberFormat="1" applyFont="1" applyFill="1" applyBorder="1" applyAlignment="1" applyProtection="1">
      <alignment horizontal="center"/>
      <protection hidden="1"/>
    </xf>
    <xf numFmtId="0" fontId="52" fillId="0" borderId="26" xfId="95" applyNumberFormat="1" applyFont="1" applyFill="1" applyBorder="1" applyAlignment="1" applyProtection="1">
      <protection hidden="1"/>
    </xf>
    <xf numFmtId="174" fontId="52" fillId="0" borderId="13" xfId="95" applyNumberFormat="1" applyFont="1" applyFill="1" applyBorder="1" applyAlignment="1" applyProtection="1">
      <protection hidden="1"/>
    </xf>
    <xf numFmtId="174" fontId="52" fillId="0" borderId="36" xfId="95" applyNumberFormat="1" applyFont="1" applyFill="1" applyBorder="1" applyAlignment="1" applyProtection="1">
      <protection hidden="1"/>
    </xf>
    <xf numFmtId="175" fontId="52" fillId="0" borderId="37" xfId="95" applyNumberFormat="1" applyFont="1" applyFill="1" applyBorder="1" applyAlignment="1" applyProtection="1">
      <protection hidden="1"/>
    </xf>
    <xf numFmtId="175" fontId="52" fillId="0" borderId="35" xfId="95" applyNumberFormat="1" applyFont="1" applyFill="1" applyBorder="1" applyAlignment="1" applyProtection="1">
      <protection hidden="1"/>
    </xf>
    <xf numFmtId="175" fontId="12" fillId="0" borderId="38" xfId="95" applyNumberFormat="1" applyFont="1" applyFill="1" applyBorder="1" applyAlignment="1" applyProtection="1">
      <protection hidden="1"/>
    </xf>
    <xf numFmtId="177" fontId="52" fillId="0" borderId="40" xfId="95" applyNumberFormat="1" applyFont="1" applyFill="1" applyBorder="1" applyAlignment="1" applyProtection="1">
      <protection hidden="1"/>
    </xf>
    <xf numFmtId="178" fontId="52" fillId="0" borderId="40" xfId="95" applyNumberFormat="1" applyFont="1" applyFill="1" applyBorder="1" applyAlignment="1" applyProtection="1">
      <protection hidden="1"/>
    </xf>
    <xf numFmtId="176" fontId="52" fillId="0" borderId="39" xfId="95" applyNumberFormat="1" applyFont="1" applyFill="1" applyBorder="1" applyAlignment="1" applyProtection="1">
      <protection hidden="1"/>
    </xf>
    <xf numFmtId="176" fontId="52" fillId="0" borderId="40" xfId="95" applyNumberFormat="1" applyFont="1" applyFill="1" applyBorder="1" applyAlignment="1" applyProtection="1">
      <protection hidden="1"/>
    </xf>
    <xf numFmtId="176" fontId="52" fillId="0" borderId="35" xfId="95" applyNumberFormat="1" applyFont="1" applyFill="1" applyBorder="1" applyAlignment="1" applyProtection="1">
      <protection hidden="1"/>
    </xf>
    <xf numFmtId="179" fontId="12" fillId="0" borderId="44" xfId="95" applyNumberFormat="1" applyFont="1" applyFill="1" applyBorder="1" applyAlignment="1" applyProtection="1">
      <protection hidden="1"/>
    </xf>
    <xf numFmtId="179" fontId="12" fillId="0" borderId="40" xfId="95" applyNumberFormat="1" applyFont="1" applyFill="1" applyBorder="1" applyAlignment="1" applyProtection="1">
      <protection hidden="1"/>
    </xf>
    <xf numFmtId="179" fontId="12" fillId="0" borderId="39" xfId="95" applyNumberFormat="1" applyFont="1" applyFill="1" applyBorder="1" applyAlignment="1" applyProtection="1">
      <alignment horizontal="center"/>
      <protection hidden="1"/>
    </xf>
    <xf numFmtId="186" fontId="12" fillId="0" borderId="39" xfId="95" applyNumberFormat="1" applyFont="1" applyFill="1" applyBorder="1" applyAlignment="1" applyProtection="1">
      <alignment horizontal="center"/>
      <protection hidden="1"/>
    </xf>
    <xf numFmtId="175" fontId="12" fillId="0" borderId="48" xfId="95" applyNumberFormat="1" applyFont="1" applyFill="1" applyBorder="1" applyAlignment="1" applyProtection="1">
      <protection hidden="1"/>
    </xf>
    <xf numFmtId="177" fontId="52" fillId="0" borderId="35" xfId="95" applyNumberFormat="1" applyFont="1" applyFill="1" applyBorder="1" applyAlignment="1" applyProtection="1">
      <protection hidden="1"/>
    </xf>
    <xf numFmtId="178" fontId="52" fillId="0" borderId="35" xfId="95" applyNumberFormat="1" applyFont="1" applyFill="1" applyBorder="1" applyAlignment="1" applyProtection="1">
      <protection hidden="1"/>
    </xf>
    <xf numFmtId="176" fontId="52" fillId="0" borderId="37" xfId="95" applyNumberFormat="1" applyFont="1" applyFill="1" applyBorder="1" applyAlignment="1" applyProtection="1">
      <protection hidden="1"/>
    </xf>
    <xf numFmtId="179" fontId="12" fillId="0" borderId="35" xfId="95" applyNumberFormat="1" applyFont="1" applyFill="1" applyBorder="1" applyAlignment="1" applyProtection="1">
      <protection hidden="1"/>
    </xf>
    <xf numFmtId="179" fontId="12" fillId="0" borderId="37" xfId="95" applyNumberFormat="1" applyFont="1" applyFill="1" applyBorder="1" applyAlignment="1" applyProtection="1">
      <alignment horizontal="center"/>
      <protection hidden="1"/>
    </xf>
    <xf numFmtId="179" fontId="52" fillId="0" borderId="44" xfId="95" applyNumberFormat="1" applyFont="1" applyFill="1" applyBorder="1" applyAlignment="1" applyProtection="1">
      <protection hidden="1"/>
    </xf>
    <xf numFmtId="0" fontId="52" fillId="0" borderId="44" xfId="95" applyNumberFormat="1" applyFont="1" applyFill="1" applyBorder="1" applyAlignment="1" applyProtection="1">
      <protection hidden="1"/>
    </xf>
    <xf numFmtId="178" fontId="52" fillId="0" borderId="44" xfId="95" applyNumberFormat="1" applyFont="1" applyFill="1" applyBorder="1" applyAlignment="1" applyProtection="1">
      <protection hidden="1"/>
    </xf>
    <xf numFmtId="176" fontId="52" fillId="0" borderId="44" xfId="95" applyNumberFormat="1" applyFont="1" applyFill="1" applyBorder="1" applyAlignment="1" applyProtection="1">
      <protection hidden="1"/>
    </xf>
    <xf numFmtId="179" fontId="52" fillId="0" borderId="44" xfId="95" applyNumberFormat="1" applyFont="1" applyFill="1" applyBorder="1" applyAlignment="1" applyProtection="1">
      <alignment horizontal="center"/>
      <protection hidden="1"/>
    </xf>
    <xf numFmtId="177" fontId="52" fillId="0" borderId="44" xfId="95" applyNumberFormat="1" applyFont="1" applyFill="1" applyBorder="1" applyAlignment="1" applyProtection="1">
      <protection hidden="1"/>
    </xf>
    <xf numFmtId="0" fontId="11" fillId="0" borderId="0" xfId="95" applyAlignment="1">
      <alignment horizontal="center"/>
    </xf>
    <xf numFmtId="169" fontId="31" fillId="0" borderId="0" xfId="80" applyNumberFormat="1" applyFont="1" applyFill="1"/>
    <xf numFmtId="0" fontId="30" fillId="0" borderId="0" xfId="80" applyFont="1" applyFill="1"/>
    <xf numFmtId="0" fontId="31" fillId="0" borderId="0" xfId="80" applyFont="1" applyFill="1" applyAlignment="1">
      <alignment horizontal="right"/>
    </xf>
    <xf numFmtId="0" fontId="31" fillId="0" borderId="49" xfId="80" applyFont="1" applyFill="1" applyBorder="1" applyAlignment="1">
      <alignment horizontal="center" vertical="top" wrapText="1"/>
    </xf>
    <xf numFmtId="0" fontId="31" fillId="0" borderId="47" xfId="80" applyFont="1" applyFill="1" applyBorder="1" applyAlignment="1">
      <alignment horizontal="center"/>
    </xf>
    <xf numFmtId="0" fontId="31" fillId="0" borderId="28" xfId="80" applyFont="1" applyFill="1" applyBorder="1" applyAlignment="1">
      <alignment horizontal="center"/>
    </xf>
    <xf numFmtId="0" fontId="45" fillId="0" borderId="13" xfId="80" applyNumberFormat="1" applyFont="1" applyFill="1" applyBorder="1" applyAlignment="1">
      <alignment horizontal="left" vertical="center"/>
    </xf>
    <xf numFmtId="0" fontId="45" fillId="0" borderId="1" xfId="80" applyFont="1" applyFill="1" applyBorder="1" applyAlignment="1">
      <alignment vertical="top" wrapText="1"/>
    </xf>
    <xf numFmtId="0" fontId="45" fillId="0" borderId="1" xfId="80" applyFont="1" applyFill="1" applyBorder="1"/>
    <xf numFmtId="170" fontId="45" fillId="0" borderId="1" xfId="80" applyNumberFormat="1" applyFont="1" applyFill="1" applyBorder="1"/>
    <xf numFmtId="167" fontId="45" fillId="0" borderId="1" xfId="80" applyNumberFormat="1" applyFont="1" applyFill="1" applyBorder="1" applyAlignment="1">
      <alignment horizontal="left" vertical="center"/>
    </xf>
    <xf numFmtId="0" fontId="45" fillId="0" borderId="0" xfId="80" applyFont="1" applyFill="1"/>
    <xf numFmtId="0" fontId="33" fillId="0" borderId="1" xfId="80" applyFont="1" applyFill="1" applyBorder="1" applyAlignment="1">
      <alignment horizontal="center" vertical="top" wrapText="1"/>
    </xf>
    <xf numFmtId="0" fontId="30" fillId="0" borderId="1" xfId="80" applyFont="1" applyFill="1" applyBorder="1" applyAlignment="1">
      <alignment vertical="top" wrapText="1"/>
    </xf>
    <xf numFmtId="167" fontId="45" fillId="0" borderId="1" xfId="80" applyNumberFormat="1" applyFont="1" applyFill="1" applyBorder="1" applyAlignment="1">
      <alignment horizontal="center" vertical="center"/>
    </xf>
    <xf numFmtId="0" fontId="29" fillId="0" borderId="1" xfId="80" applyFont="1" applyFill="1" applyBorder="1" applyAlignment="1">
      <alignment horizontal="center" vertical="top" wrapText="1"/>
    </xf>
    <xf numFmtId="0" fontId="31" fillId="0" borderId="1" xfId="80" applyFont="1" applyFill="1" applyBorder="1" applyAlignment="1">
      <alignment vertical="top" wrapText="1"/>
    </xf>
    <xf numFmtId="49" fontId="29" fillId="0" borderId="1" xfId="80" applyNumberFormat="1" applyFont="1" applyFill="1" applyBorder="1" applyAlignment="1">
      <alignment horizontal="center" vertical="top" wrapText="1"/>
    </xf>
    <xf numFmtId="0" fontId="4" fillId="0" borderId="1" xfId="80" applyFont="1" applyFill="1" applyBorder="1" applyAlignment="1">
      <alignment vertical="top" wrapText="1"/>
    </xf>
    <xf numFmtId="1" fontId="4" fillId="0" borderId="1" xfId="0" applyNumberFormat="1" applyFont="1" applyFill="1" applyBorder="1" applyAlignment="1">
      <alignment horizontal="center" vertical="center"/>
    </xf>
    <xf numFmtId="0" fontId="4" fillId="0" borderId="0" xfId="0" applyFont="1" applyFill="1"/>
    <xf numFmtId="0" fontId="36" fillId="0" borderId="1" xfId="80" applyFont="1" applyFill="1" applyBorder="1" applyAlignment="1">
      <alignment vertical="top" wrapText="1"/>
    </xf>
    <xf numFmtId="0" fontId="46" fillId="0" borderId="1" xfId="80" applyFont="1" applyFill="1" applyBorder="1" applyAlignment="1">
      <alignment vertical="top" wrapText="1"/>
    </xf>
    <xf numFmtId="1" fontId="29" fillId="0" borderId="1" xfId="80" applyNumberFormat="1" applyFont="1" applyFill="1" applyBorder="1" applyAlignment="1">
      <alignment horizontal="center" vertical="top" wrapText="1"/>
    </xf>
    <xf numFmtId="0" fontId="46" fillId="0" borderId="1" xfId="80" applyFont="1" applyFill="1" applyBorder="1" applyAlignment="1">
      <alignment horizontal="justify" vertical="top"/>
    </xf>
    <xf numFmtId="0" fontId="36" fillId="0" borderId="1" xfId="80" applyFont="1" applyFill="1" applyBorder="1" applyAlignment="1">
      <alignment horizontal="justify" vertical="top"/>
    </xf>
    <xf numFmtId="167" fontId="30" fillId="0" borderId="1" xfId="50" applyNumberFormat="1" applyFont="1" applyFill="1" applyBorder="1" applyAlignment="1">
      <alignment horizontal="center" vertical="center"/>
    </xf>
    <xf numFmtId="167" fontId="31" fillId="0" borderId="1" xfId="50" applyNumberFormat="1" applyFont="1" applyFill="1" applyBorder="1" applyAlignment="1">
      <alignment horizontal="center" vertical="center"/>
    </xf>
    <xf numFmtId="0" fontId="36" fillId="0" borderId="1" xfId="50" applyFont="1" applyFill="1" applyBorder="1" applyAlignment="1">
      <alignment horizontal="left" vertical="center" wrapText="1"/>
    </xf>
    <xf numFmtId="167" fontId="32" fillId="0" borderId="1" xfId="50" applyNumberFormat="1" applyFont="1" applyFill="1" applyBorder="1" applyAlignment="1">
      <alignment horizontal="center" vertical="center"/>
    </xf>
    <xf numFmtId="0" fontId="31" fillId="0" borderId="0" xfId="80" applyFont="1" applyFill="1" applyAlignment="1">
      <alignment horizontal="justify"/>
    </xf>
    <xf numFmtId="0" fontId="33" fillId="0" borderId="1" xfId="80" applyFont="1" applyFill="1" applyBorder="1" applyAlignment="1">
      <alignment horizontal="center" vertical="center" wrapText="1"/>
    </xf>
    <xf numFmtId="0" fontId="46" fillId="0" borderId="1" xfId="50" applyFont="1" applyFill="1" applyBorder="1" applyAlignment="1">
      <alignment horizontal="justify" vertical="center" wrapText="1"/>
    </xf>
    <xf numFmtId="0" fontId="29" fillId="0" borderId="1" xfId="80" applyFont="1" applyFill="1" applyBorder="1" applyAlignment="1">
      <alignment horizontal="center" vertical="center" wrapText="1"/>
    </xf>
    <xf numFmtId="0" fontId="36" fillId="0" borderId="1" xfId="50" applyFont="1" applyFill="1" applyBorder="1" applyAlignment="1">
      <alignment vertical="center" wrapText="1"/>
    </xf>
    <xf numFmtId="0" fontId="37" fillId="0" borderId="1" xfId="80" applyFont="1" applyFill="1" applyBorder="1" applyAlignment="1">
      <alignment horizontal="center" vertical="center" wrapText="1"/>
    </xf>
    <xf numFmtId="0" fontId="47" fillId="0" borderId="1" xfId="50" applyFont="1" applyFill="1" applyBorder="1" applyAlignment="1">
      <alignment vertical="center" wrapText="1"/>
    </xf>
    <xf numFmtId="0" fontId="29" fillId="0" borderId="1" xfId="80" applyFont="1" applyFill="1" applyBorder="1" applyAlignment="1" applyProtection="1">
      <alignment horizontal="center" vertical="center" wrapText="1"/>
      <protection locked="0"/>
    </xf>
    <xf numFmtId="0" fontId="31" fillId="0" borderId="1" xfId="50" applyFont="1" applyFill="1" applyBorder="1" applyAlignment="1" applyProtection="1">
      <alignment vertical="center" wrapText="1"/>
      <protection locked="0"/>
    </xf>
    <xf numFmtId="0" fontId="31" fillId="0" borderId="1" xfId="50" applyFont="1" applyFill="1" applyBorder="1" applyAlignment="1">
      <alignment vertical="center" wrapText="1"/>
    </xf>
    <xf numFmtId="0" fontId="32" fillId="0" borderId="1" xfId="87" applyFont="1" applyFill="1" applyBorder="1" applyAlignment="1">
      <alignment vertical="center" wrapText="1"/>
    </xf>
    <xf numFmtId="0" fontId="36" fillId="0" borderId="1" xfId="50" applyFont="1" applyFill="1" applyBorder="1" applyAlignment="1" applyProtection="1">
      <alignment vertical="center" wrapText="1"/>
      <protection locked="0"/>
    </xf>
    <xf numFmtId="0" fontId="46" fillId="0" borderId="1" xfId="80" applyFont="1" applyFill="1" applyBorder="1" applyAlignment="1">
      <alignment horizontal="justify" vertical="center" wrapText="1"/>
    </xf>
    <xf numFmtId="167" fontId="30" fillId="0" borderId="1" xfId="75" applyNumberFormat="1" applyFont="1" applyFill="1" applyBorder="1" applyAlignment="1">
      <alignment horizontal="center" vertical="center" wrapText="1"/>
    </xf>
    <xf numFmtId="167" fontId="31" fillId="0" borderId="1" xfId="75" applyNumberFormat="1" applyFont="1" applyFill="1" applyBorder="1" applyAlignment="1">
      <alignment horizontal="center" vertical="center" wrapText="1"/>
    </xf>
    <xf numFmtId="167" fontId="4" fillId="0" borderId="1" xfId="0" applyNumberFormat="1" applyFont="1" applyFill="1" applyBorder="1" applyAlignment="1">
      <alignment horizontal="center" vertical="center" wrapText="1"/>
    </xf>
    <xf numFmtId="167" fontId="36" fillId="0" borderId="1" xfId="75" applyNumberFormat="1" applyFont="1" applyFill="1" applyBorder="1" applyAlignment="1">
      <alignment horizontal="center" vertical="center" wrapText="1"/>
    </xf>
    <xf numFmtId="167" fontId="46" fillId="0" borderId="1" xfId="75" applyNumberFormat="1" applyFont="1" applyFill="1" applyBorder="1" applyAlignment="1">
      <alignment horizontal="center" vertical="center" wrapText="1"/>
    </xf>
    <xf numFmtId="176" fontId="52" fillId="0" borderId="40" xfId="95" applyNumberFormat="1" applyFont="1" applyFill="1" applyBorder="1" applyAlignment="1" applyProtection="1">
      <protection hidden="1"/>
    </xf>
    <xf numFmtId="176" fontId="52" fillId="0" borderId="44" xfId="95" applyNumberFormat="1" applyFont="1" applyFill="1" applyBorder="1" applyAlignment="1" applyProtection="1">
      <protection hidden="1"/>
    </xf>
    <xf numFmtId="176" fontId="52" fillId="0" borderId="44" xfId="95" applyNumberFormat="1" applyFont="1" applyFill="1" applyBorder="1" applyAlignment="1" applyProtection="1">
      <protection hidden="1"/>
    </xf>
    <xf numFmtId="0" fontId="12" fillId="0" borderId="0" xfId="95" applyFont="1"/>
    <xf numFmtId="177" fontId="60" fillId="0" borderId="44" xfId="95" applyNumberFormat="1" applyFont="1" applyFill="1" applyBorder="1" applyAlignment="1" applyProtection="1">
      <protection hidden="1"/>
    </xf>
    <xf numFmtId="178" fontId="60" fillId="0" borderId="44" xfId="95" applyNumberFormat="1" applyFont="1" applyFill="1" applyBorder="1" applyAlignment="1" applyProtection="1">
      <protection hidden="1"/>
    </xf>
    <xf numFmtId="179" fontId="60" fillId="0" borderId="44" xfId="95" applyNumberFormat="1" applyFont="1" applyFill="1" applyBorder="1" applyAlignment="1" applyProtection="1">
      <protection hidden="1"/>
    </xf>
    <xf numFmtId="0" fontId="60" fillId="0" borderId="44" xfId="95" applyNumberFormat="1" applyFont="1" applyFill="1" applyBorder="1" applyAlignment="1" applyProtection="1">
      <protection hidden="1"/>
    </xf>
    <xf numFmtId="179" fontId="60" fillId="0" borderId="44" xfId="95" applyNumberFormat="1" applyFont="1" applyFill="1" applyBorder="1" applyAlignment="1" applyProtection="1">
      <alignment horizontal="center"/>
      <protection hidden="1"/>
    </xf>
    <xf numFmtId="176" fontId="60" fillId="0" borderId="44" xfId="95" applyNumberFormat="1" applyFont="1" applyFill="1" applyBorder="1" applyAlignment="1" applyProtection="1">
      <protection hidden="1"/>
    </xf>
    <xf numFmtId="179" fontId="12" fillId="0" borderId="0" xfId="95" applyNumberFormat="1" applyFont="1"/>
    <xf numFmtId="187" fontId="11" fillId="0" borderId="0" xfId="95" applyNumberFormat="1"/>
    <xf numFmtId="187" fontId="12" fillId="0" borderId="0" xfId="95" applyNumberFormat="1" applyFont="1"/>
    <xf numFmtId="188" fontId="11" fillId="0" borderId="0" xfId="95" applyNumberFormat="1"/>
    <xf numFmtId="189" fontId="12" fillId="0" borderId="0" xfId="95" applyNumberFormat="1" applyFont="1"/>
    <xf numFmtId="0" fontId="60" fillId="0" borderId="1" xfId="95" applyFont="1" applyBorder="1" applyAlignment="1">
      <alignment horizontal="center"/>
    </xf>
    <xf numFmtId="186" fontId="12" fillId="0" borderId="36" xfId="95" applyNumberFormat="1" applyFont="1" applyFill="1" applyBorder="1" applyAlignment="1" applyProtection="1">
      <alignment horizontal="center"/>
      <protection hidden="1"/>
    </xf>
    <xf numFmtId="179" fontId="60" fillId="0" borderId="1" xfId="95" applyNumberFormat="1" applyFont="1" applyFill="1" applyBorder="1" applyAlignment="1" applyProtection="1">
      <alignment horizontal="center"/>
      <protection hidden="1"/>
    </xf>
    <xf numFmtId="179" fontId="52" fillId="0" borderId="1" xfId="95" applyNumberFormat="1" applyFont="1" applyFill="1" applyBorder="1" applyAlignment="1" applyProtection="1">
      <alignment horizontal="center"/>
      <protection hidden="1"/>
    </xf>
    <xf numFmtId="1" fontId="12" fillId="0" borderId="1" xfId="95" applyNumberFormat="1" applyFont="1" applyBorder="1" applyAlignment="1">
      <alignment horizontal="center"/>
    </xf>
    <xf numFmtId="1" fontId="11" fillId="0" borderId="1" xfId="95" applyNumberFormat="1" applyBorder="1" applyAlignment="1">
      <alignment horizontal="center"/>
    </xf>
    <xf numFmtId="179" fontId="12" fillId="0" borderId="1" xfId="95" applyNumberFormat="1" applyFont="1" applyBorder="1" applyAlignment="1">
      <alignment horizontal="center"/>
    </xf>
    <xf numFmtId="179" fontId="11" fillId="0" borderId="1" xfId="95" applyNumberFormat="1" applyBorder="1" applyAlignment="1">
      <alignment horizontal="center"/>
    </xf>
    <xf numFmtId="179" fontId="11" fillId="0" borderId="0" xfId="95" applyNumberFormat="1"/>
    <xf numFmtId="49" fontId="0" fillId="0" borderId="0" xfId="0" applyNumberFormat="1"/>
    <xf numFmtId="1" fontId="33" fillId="29" borderId="1" xfId="0" applyNumberFormat="1" applyFont="1" applyFill="1" applyBorder="1" applyAlignment="1">
      <alignment horizontal="center" vertical="center"/>
    </xf>
    <xf numFmtId="171" fontId="29" fillId="29" borderId="1" xfId="0" applyNumberFormat="1" applyFont="1" applyFill="1" applyBorder="1" applyAlignment="1">
      <alignment horizontal="center" vertical="center" wrapText="1"/>
    </xf>
    <xf numFmtId="0" fontId="29" fillId="29" borderId="1" xfId="0" applyNumberFormat="1" applyFont="1" applyFill="1" applyBorder="1" applyAlignment="1">
      <alignment horizontal="center" vertical="center" wrapText="1"/>
    </xf>
    <xf numFmtId="0" fontId="29" fillId="29" borderId="1" xfId="0" applyNumberFormat="1" applyFont="1" applyFill="1" applyBorder="1" applyAlignment="1">
      <alignment vertical="center" wrapText="1"/>
    </xf>
    <xf numFmtId="171" fontId="29" fillId="29" borderId="1" xfId="0" applyNumberFormat="1" applyFont="1" applyFill="1" applyBorder="1" applyAlignment="1">
      <alignment horizontal="center" vertical="center"/>
    </xf>
    <xf numFmtId="2" fontId="0" fillId="0" borderId="0" xfId="0" applyNumberFormat="1"/>
    <xf numFmtId="0" fontId="29" fillId="29" borderId="1" xfId="0" applyNumberFormat="1" applyFont="1" applyFill="1" applyBorder="1" applyAlignment="1">
      <alignment horizontal="center" vertical="center"/>
    </xf>
    <xf numFmtId="171" fontId="33" fillId="29" borderId="1" xfId="0" applyNumberFormat="1" applyFont="1" applyFill="1" applyBorder="1" applyAlignment="1">
      <alignment horizontal="center" vertical="center"/>
    </xf>
    <xf numFmtId="0" fontId="33" fillId="29" borderId="1" xfId="0" applyNumberFormat="1" applyFont="1" applyFill="1" applyBorder="1" applyAlignment="1">
      <alignment horizontal="center" vertical="center"/>
    </xf>
    <xf numFmtId="0" fontId="33" fillId="29" borderId="1" xfId="0" applyNumberFormat="1" applyFont="1" applyFill="1" applyBorder="1" applyAlignment="1">
      <alignment horizontal="center" vertical="center" wrapText="1"/>
    </xf>
    <xf numFmtId="183" fontId="29" fillId="0" borderId="1" xfId="81" applyNumberFormat="1" applyFont="1" applyFill="1" applyBorder="1" applyAlignment="1">
      <alignment horizontal="center" vertical="center"/>
    </xf>
    <xf numFmtId="183" fontId="29" fillId="0" borderId="1" xfId="81" applyNumberFormat="1" applyFont="1" applyBorder="1" applyAlignment="1">
      <alignment horizontal="center" vertical="center"/>
    </xf>
    <xf numFmtId="183" fontId="0" fillId="0" borderId="0" xfId="0" applyNumberFormat="1"/>
    <xf numFmtId="166" fontId="61" fillId="0" borderId="1" xfId="0" applyNumberFormat="1" applyFont="1" applyBorder="1" applyAlignment="1">
      <alignment horizontal="center" vertical="center" wrapText="1"/>
    </xf>
    <xf numFmtId="0" fontId="61" fillId="0" borderId="1" xfId="0" applyFont="1" applyBorder="1" applyAlignment="1">
      <alignment horizontal="justify" vertical="center" wrapText="1"/>
    </xf>
    <xf numFmtId="166" fontId="62" fillId="0" borderId="1" xfId="0" applyNumberFormat="1" applyFont="1" applyBorder="1" applyAlignment="1">
      <alignment horizontal="center" vertical="center" wrapText="1"/>
    </xf>
    <xf numFmtId="0" fontId="62" fillId="0" borderId="1" xfId="0" applyFont="1" applyBorder="1" applyAlignment="1">
      <alignment vertical="center" wrapText="1"/>
    </xf>
    <xf numFmtId="0" fontId="62" fillId="0" borderId="1" xfId="0" applyFont="1" applyBorder="1" applyAlignment="1">
      <alignment horizontal="justify" vertical="center" wrapText="1"/>
    </xf>
    <xf numFmtId="0" fontId="40" fillId="0" borderId="0" xfId="0" applyFont="1"/>
    <xf numFmtId="1" fontId="40" fillId="0" borderId="1" xfId="0" applyNumberFormat="1" applyFont="1" applyBorder="1"/>
    <xf numFmtId="0" fontId="40" fillId="0" borderId="1" xfId="0" applyFont="1" applyBorder="1"/>
    <xf numFmtId="49" fontId="40" fillId="0" borderId="0" xfId="0" applyNumberFormat="1" applyFont="1"/>
    <xf numFmtId="1" fontId="0" fillId="0" borderId="1" xfId="0" applyNumberFormat="1" applyBorder="1"/>
    <xf numFmtId="0" fontId="0" fillId="0" borderId="1" xfId="0" applyBorder="1"/>
    <xf numFmtId="171" fontId="61" fillId="0" borderId="1" xfId="0" applyNumberFormat="1" applyFont="1" applyBorder="1" applyAlignment="1">
      <alignment horizontal="center" vertical="center"/>
    </xf>
    <xf numFmtId="0" fontId="61" fillId="0" borderId="1" xfId="0" applyFont="1" applyBorder="1" applyAlignment="1">
      <alignment horizontal="center" vertical="center"/>
    </xf>
    <xf numFmtId="171" fontId="29" fillId="0" borderId="1" xfId="0" applyNumberFormat="1" applyFont="1" applyBorder="1" applyAlignment="1">
      <alignment horizontal="center"/>
    </xf>
    <xf numFmtId="0" fontId="62" fillId="0" borderId="1" xfId="0" applyFont="1" applyBorder="1" applyAlignment="1">
      <alignment horizontal="center" vertical="center"/>
    </xf>
    <xf numFmtId="0" fontId="61" fillId="0" borderId="1" xfId="0" applyFont="1" applyBorder="1" applyAlignment="1">
      <alignment horizontal="center" vertical="center" wrapText="1"/>
    </xf>
    <xf numFmtId="1" fontId="61" fillId="0" borderId="1" xfId="0" applyNumberFormat="1" applyFont="1" applyBorder="1" applyAlignment="1">
      <alignment horizontal="center" vertical="center"/>
    </xf>
    <xf numFmtId="0" fontId="40" fillId="0" borderId="1" xfId="0" applyFont="1" applyBorder="1" applyAlignment="1">
      <alignment horizontal="center"/>
    </xf>
    <xf numFmtId="0" fontId="61" fillId="0" borderId="1" xfId="0" applyFont="1" applyFill="1" applyBorder="1" applyAlignment="1">
      <alignment horizontal="center" vertical="center"/>
    </xf>
    <xf numFmtId="1" fontId="62" fillId="0" borderId="1" xfId="0" applyNumberFormat="1" applyFont="1" applyBorder="1" applyAlignment="1">
      <alignment horizontal="center" vertical="center"/>
    </xf>
    <xf numFmtId="0" fontId="63" fillId="29" borderId="50" xfId="0" applyFont="1" applyFill="1" applyBorder="1" applyAlignment="1">
      <alignment horizontal="left" vertical="center" wrapText="1" indent="4"/>
    </xf>
    <xf numFmtId="166" fontId="63" fillId="29" borderId="50" xfId="0" applyNumberFormat="1" applyFont="1" applyFill="1" applyBorder="1" applyAlignment="1">
      <alignment horizontal="left" vertical="center" wrapText="1" indent="1"/>
    </xf>
    <xf numFmtId="0" fontId="63" fillId="29" borderId="50" xfId="0" applyFont="1" applyFill="1" applyBorder="1" applyAlignment="1">
      <alignment horizontal="justify" vertical="center" wrapText="1"/>
    </xf>
    <xf numFmtId="49" fontId="64" fillId="29" borderId="51" xfId="0" applyNumberFormat="1" applyFont="1" applyFill="1" applyBorder="1" applyAlignment="1">
      <alignment horizontal="left" vertical="center" wrapText="1" indent="2"/>
    </xf>
    <xf numFmtId="1" fontId="63" fillId="29" borderId="50" xfId="0" applyNumberFormat="1" applyFont="1" applyFill="1" applyBorder="1" applyAlignment="1">
      <alignment horizontal="left" vertical="center" wrapText="1" indent="3"/>
    </xf>
    <xf numFmtId="49" fontId="63" fillId="29" borderId="51" xfId="0" applyNumberFormat="1" applyFont="1" applyFill="1" applyBorder="1" applyAlignment="1">
      <alignment horizontal="left" vertical="center" wrapText="1" indent="2"/>
    </xf>
    <xf numFmtId="166" fontId="63" fillId="29" borderId="50" xfId="0" applyNumberFormat="1" applyFont="1" applyFill="1" applyBorder="1" applyAlignment="1">
      <alignment horizontal="left" vertical="center" wrapText="1" indent="2"/>
    </xf>
    <xf numFmtId="166" fontId="63" fillId="29" borderId="50" xfId="0" applyNumberFormat="1" applyFont="1" applyFill="1" applyBorder="1" applyAlignment="1">
      <alignment horizontal="center" vertical="center" wrapText="1"/>
    </xf>
    <xf numFmtId="49" fontId="63" fillId="29" borderId="51" xfId="0" applyNumberFormat="1" applyFont="1" applyFill="1" applyBorder="1" applyAlignment="1">
      <alignment horizontal="center" vertical="center" wrapText="1"/>
    </xf>
    <xf numFmtId="4" fontId="0" fillId="0" borderId="0" xfId="0" applyNumberFormat="1"/>
    <xf numFmtId="0" fontId="63" fillId="29" borderId="50" xfId="0" applyFont="1" applyFill="1" applyBorder="1" applyAlignment="1">
      <alignment horizontal="left" vertical="center" wrapText="1" indent="1"/>
    </xf>
    <xf numFmtId="0" fontId="63" fillId="29" borderId="25" xfId="0" applyFont="1" applyFill="1" applyBorder="1" applyAlignment="1">
      <alignment horizontal="left" vertical="center" wrapText="1" indent="3"/>
    </xf>
    <xf numFmtId="0" fontId="30" fillId="0" borderId="0" xfId="80" applyFont="1" applyFill="1" applyAlignment="1">
      <alignment horizontal="center" vertical="center"/>
    </xf>
    <xf numFmtId="0" fontId="5" fillId="0" borderId="0" xfId="81" applyFont="1" applyAlignment="1">
      <alignment horizontal="center" vertical="center" wrapText="1"/>
    </xf>
    <xf numFmtId="0" fontId="5" fillId="0" borderId="0" xfId="82" applyFont="1" applyFill="1" applyAlignment="1">
      <alignment horizontal="right"/>
    </xf>
    <xf numFmtId="0" fontId="4" fillId="0" borderId="0" xfId="82" applyFont="1" applyFill="1" applyAlignment="1">
      <alignment horizontal="right"/>
    </xf>
    <xf numFmtId="0" fontId="30" fillId="0" borderId="0" xfId="80" applyFont="1" applyFill="1" applyAlignment="1">
      <alignment horizontal="center" vertical="center"/>
    </xf>
    <xf numFmtId="0" fontId="4" fillId="0" borderId="0" xfId="82" applyFont="1" applyFill="1" applyAlignment="1">
      <alignment horizontal="right" vertical="center"/>
    </xf>
    <xf numFmtId="0" fontId="29" fillId="0" borderId="0" xfId="90" applyNumberFormat="1" applyFont="1" applyFill="1" applyAlignment="1" applyProtection="1">
      <alignment horizontal="right" vertical="center"/>
      <protection hidden="1"/>
    </xf>
    <xf numFmtId="0" fontId="29" fillId="0" borderId="0" xfId="90" applyNumberFormat="1" applyFont="1" applyFill="1" applyAlignment="1" applyProtection="1">
      <alignment horizontal="right" vertical="center" wrapText="1"/>
      <protection hidden="1"/>
    </xf>
    <xf numFmtId="0" fontId="29" fillId="0" borderId="0" xfId="90" applyNumberFormat="1" applyFont="1" applyFill="1" applyAlignment="1" applyProtection="1">
      <alignment horizontal="right" vertical="top" wrapText="1"/>
      <protection hidden="1"/>
    </xf>
    <xf numFmtId="0" fontId="29" fillId="0" borderId="0" xfId="90" applyNumberFormat="1" applyFont="1" applyFill="1" applyAlignment="1" applyProtection="1">
      <alignment horizontal="right"/>
      <protection hidden="1"/>
    </xf>
    <xf numFmtId="0" fontId="33" fillId="0" borderId="0" xfId="90" applyNumberFormat="1" applyFont="1" applyFill="1" applyAlignment="1" applyProtection="1">
      <alignment horizontal="center" vertical="top" wrapText="1"/>
      <protection hidden="1"/>
    </xf>
    <xf numFmtId="0" fontId="33" fillId="0" borderId="0" xfId="90" applyNumberFormat="1" applyFont="1" applyFill="1" applyAlignment="1" applyProtection="1">
      <alignment horizontal="center" vertical="top"/>
      <protection hidden="1"/>
    </xf>
    <xf numFmtId="173" fontId="29" fillId="0" borderId="41" xfId="92" applyNumberFormat="1" applyFont="1" applyFill="1" applyBorder="1" applyAlignment="1" applyProtection="1">
      <alignment wrapText="1"/>
      <protection hidden="1"/>
    </xf>
    <xf numFmtId="173" fontId="29" fillId="0" borderId="42" xfId="92" applyNumberFormat="1" applyFont="1" applyFill="1" applyBorder="1" applyAlignment="1" applyProtection="1">
      <alignment wrapText="1"/>
      <protection hidden="1"/>
    </xf>
    <xf numFmtId="176" fontId="29" fillId="0" borderId="1" xfId="92" applyNumberFormat="1" applyFont="1" applyFill="1" applyBorder="1" applyAlignment="1" applyProtection="1">
      <alignment horizontal="center" vertical="center"/>
      <protection hidden="1"/>
    </xf>
    <xf numFmtId="176" fontId="29" fillId="0" borderId="23" xfId="92" applyNumberFormat="1" applyFont="1" applyFill="1" applyBorder="1" applyAlignment="1" applyProtection="1">
      <alignment horizontal="center" vertical="center"/>
      <protection hidden="1"/>
    </xf>
    <xf numFmtId="173" fontId="51" fillId="0" borderId="41" xfId="92" applyNumberFormat="1" applyFont="1" applyFill="1" applyBorder="1" applyAlignment="1" applyProtection="1">
      <alignment wrapText="1"/>
      <protection hidden="1"/>
    </xf>
    <xf numFmtId="173" fontId="51" fillId="0" borderId="42" xfId="92" applyNumberFormat="1" applyFont="1" applyFill="1" applyBorder="1" applyAlignment="1" applyProtection="1">
      <alignment wrapText="1"/>
      <protection hidden="1"/>
    </xf>
    <xf numFmtId="176" fontId="51" fillId="0" borderId="1" xfId="92" applyNumberFormat="1" applyFont="1" applyFill="1" applyBorder="1" applyAlignment="1" applyProtection="1">
      <alignment horizontal="center" vertical="center"/>
      <protection hidden="1"/>
    </xf>
    <xf numFmtId="176" fontId="51" fillId="0" borderId="23" xfId="92" applyNumberFormat="1" applyFont="1" applyFill="1" applyBorder="1" applyAlignment="1" applyProtection="1">
      <alignment horizontal="center" vertical="center"/>
      <protection hidden="1"/>
    </xf>
    <xf numFmtId="173" fontId="29" fillId="0" borderId="38" xfId="92" applyNumberFormat="1" applyFont="1" applyFill="1" applyBorder="1" applyAlignment="1" applyProtection="1">
      <alignment wrapText="1"/>
      <protection hidden="1"/>
    </xf>
    <xf numFmtId="173" fontId="29" fillId="0" borderId="43" xfId="92" applyNumberFormat="1" applyFont="1" applyFill="1" applyBorder="1" applyAlignment="1" applyProtection="1">
      <alignment wrapText="1"/>
      <protection hidden="1"/>
    </xf>
    <xf numFmtId="176" fontId="29" fillId="0" borderId="40" xfId="92" applyNumberFormat="1" applyFont="1" applyFill="1" applyBorder="1" applyAlignment="1" applyProtection="1">
      <alignment horizontal="center" vertical="center"/>
      <protection hidden="1"/>
    </xf>
    <xf numFmtId="176" fontId="29" fillId="0" borderId="44" xfId="92" applyNumberFormat="1" applyFont="1" applyFill="1" applyBorder="1" applyAlignment="1" applyProtection="1">
      <alignment horizontal="center" vertical="center"/>
      <protection hidden="1"/>
    </xf>
    <xf numFmtId="173" fontId="33" fillId="0" borderId="41" xfId="92" applyNumberFormat="1" applyFont="1" applyFill="1" applyBorder="1" applyAlignment="1" applyProtection="1">
      <alignment wrapText="1"/>
      <protection hidden="1"/>
    </xf>
    <xf numFmtId="173" fontId="33" fillId="0" borderId="42" xfId="92" applyNumberFormat="1" applyFont="1" applyFill="1" applyBorder="1" applyAlignment="1" applyProtection="1">
      <alignment wrapText="1"/>
      <protection hidden="1"/>
    </xf>
    <xf numFmtId="176" fontId="33" fillId="0" borderId="1" xfId="92" applyNumberFormat="1" applyFont="1" applyFill="1" applyBorder="1" applyAlignment="1" applyProtection="1">
      <alignment horizontal="center" vertical="center"/>
      <protection hidden="1"/>
    </xf>
    <xf numFmtId="176" fontId="33" fillId="0" borderId="23" xfId="92" applyNumberFormat="1" applyFont="1" applyFill="1" applyBorder="1" applyAlignment="1" applyProtection="1">
      <alignment horizontal="center" vertical="center"/>
      <protection hidden="1"/>
    </xf>
    <xf numFmtId="179" fontId="29" fillId="0" borderId="1" xfId="92" applyNumberFormat="1" applyFont="1" applyFill="1" applyBorder="1" applyAlignment="1" applyProtection="1">
      <alignment horizontal="center" vertical="center"/>
      <protection hidden="1"/>
    </xf>
    <xf numFmtId="175" fontId="29" fillId="0" borderId="1" xfId="92" applyNumberFormat="1" applyFont="1" applyFill="1" applyBorder="1" applyAlignment="1" applyProtection="1">
      <alignment wrapText="1"/>
      <protection hidden="1"/>
    </xf>
    <xf numFmtId="175" fontId="52" fillId="0" borderId="1" xfId="91" applyNumberFormat="1" applyFont="1" applyFill="1" applyBorder="1" applyAlignment="1" applyProtection="1">
      <alignment horizontal="center" vertical="center" wrapText="1"/>
      <protection hidden="1"/>
    </xf>
    <xf numFmtId="176" fontId="52" fillId="0" borderId="1" xfId="91" applyNumberFormat="1" applyFont="1" applyFill="1" applyBorder="1" applyAlignment="1" applyProtection="1">
      <alignment horizontal="center" vertical="center"/>
      <protection hidden="1"/>
    </xf>
    <xf numFmtId="179" fontId="52" fillId="0" borderId="1" xfId="91" applyNumberFormat="1" applyFont="1" applyFill="1" applyBorder="1" applyAlignment="1" applyProtection="1">
      <alignment horizontal="center" vertical="center"/>
      <protection hidden="1"/>
    </xf>
    <xf numFmtId="0" fontId="29" fillId="0" borderId="0" xfId="84" applyFont="1" applyFill="1" applyAlignment="1">
      <alignment horizontal="right"/>
    </xf>
    <xf numFmtId="0" fontId="33" fillId="0" borderId="0" xfId="50" applyNumberFormat="1" applyFont="1" applyFill="1" applyAlignment="1" applyProtection="1">
      <alignment horizontal="center" vertical="top"/>
      <protection hidden="1"/>
    </xf>
    <xf numFmtId="174" fontId="52" fillId="0" borderId="38" xfId="95" applyNumberFormat="1" applyFont="1" applyFill="1" applyBorder="1" applyAlignment="1" applyProtection="1">
      <alignment wrapText="1"/>
      <protection hidden="1"/>
    </xf>
    <xf numFmtId="174" fontId="52" fillId="0" borderId="43" xfId="95" applyNumberFormat="1" applyFont="1" applyFill="1" applyBorder="1" applyAlignment="1" applyProtection="1">
      <alignment wrapText="1"/>
      <protection hidden="1"/>
    </xf>
    <xf numFmtId="176" fontId="52" fillId="0" borderId="40" xfId="95" applyNumberFormat="1" applyFont="1" applyFill="1" applyBorder="1" applyAlignment="1" applyProtection="1">
      <protection hidden="1"/>
    </xf>
    <xf numFmtId="176" fontId="52" fillId="0" borderId="44" xfId="95" applyNumberFormat="1" applyFont="1" applyFill="1" applyBorder="1" applyAlignment="1" applyProtection="1">
      <protection hidden="1"/>
    </xf>
    <xf numFmtId="174" fontId="60" fillId="0" borderId="38" xfId="95" applyNumberFormat="1" applyFont="1" applyFill="1" applyBorder="1" applyAlignment="1" applyProtection="1">
      <alignment wrapText="1"/>
      <protection hidden="1"/>
    </xf>
    <xf numFmtId="174" fontId="60" fillId="0" borderId="43" xfId="95" applyNumberFormat="1" applyFont="1" applyFill="1" applyBorder="1" applyAlignment="1" applyProtection="1">
      <alignment wrapText="1"/>
      <protection hidden="1"/>
    </xf>
    <xf numFmtId="176" fontId="60" fillId="0" borderId="40" xfId="95" applyNumberFormat="1" applyFont="1" applyFill="1" applyBorder="1" applyAlignment="1" applyProtection="1">
      <protection hidden="1"/>
    </xf>
    <xf numFmtId="176" fontId="60" fillId="0" borderId="44" xfId="95" applyNumberFormat="1" applyFont="1" applyFill="1" applyBorder="1" applyAlignment="1" applyProtection="1">
      <protection hidden="1"/>
    </xf>
    <xf numFmtId="0" fontId="58" fillId="0" borderId="0" xfId="93" applyNumberFormat="1" applyFont="1" applyFill="1" applyAlignment="1" applyProtection="1">
      <alignment horizontal="center" vertical="top"/>
      <protection hidden="1"/>
    </xf>
    <xf numFmtId="0" fontId="29" fillId="0" borderId="0" xfId="93" applyNumberFormat="1" applyFont="1" applyFill="1" applyAlignment="1" applyProtection="1">
      <alignment horizontal="right" wrapText="1"/>
      <protection hidden="1"/>
    </xf>
    <xf numFmtId="0" fontId="29" fillId="0" borderId="0" xfId="93" applyNumberFormat="1" applyFont="1" applyFill="1" applyAlignment="1" applyProtection="1">
      <alignment horizontal="right" vertical="top"/>
      <protection hidden="1"/>
    </xf>
    <xf numFmtId="0" fontId="5" fillId="0" borderId="0" xfId="81" applyFont="1" applyAlignment="1">
      <alignment horizontal="center"/>
    </xf>
    <xf numFmtId="0" fontId="30" fillId="0" borderId="0" xfId="80" applyFont="1" applyFill="1" applyAlignment="1">
      <alignment horizontal="center"/>
    </xf>
    <xf numFmtId="0" fontId="4" fillId="0" borderId="0" xfId="84" applyFont="1" applyFill="1" applyAlignment="1">
      <alignment horizontal="right"/>
    </xf>
    <xf numFmtId="0" fontId="33" fillId="0" borderId="0" xfId="0" applyFont="1" applyAlignment="1">
      <alignment horizontal="center"/>
    </xf>
    <xf numFmtId="49" fontId="63" fillId="29" borderId="49" xfId="0" applyNumberFormat="1" applyFont="1" applyFill="1" applyBorder="1" applyAlignment="1">
      <alignment horizontal="center" vertical="center" wrapText="1"/>
    </xf>
    <xf numFmtId="49" fontId="63" fillId="29" borderId="51" xfId="0" applyNumberFormat="1" applyFont="1" applyFill="1" applyBorder="1" applyAlignment="1">
      <alignment horizontal="center" vertical="center" wrapText="1"/>
    </xf>
    <xf numFmtId="0" fontId="63" fillId="29" borderId="49" xfId="0" applyFont="1" applyFill="1" applyBorder="1" applyAlignment="1">
      <alignment horizontal="left" vertical="center" wrapText="1" indent="8"/>
    </xf>
    <xf numFmtId="0" fontId="63" fillId="29" borderId="51" xfId="0" applyFont="1" applyFill="1" applyBorder="1" applyAlignment="1">
      <alignment horizontal="left" vertical="center" wrapText="1" indent="8"/>
    </xf>
    <xf numFmtId="0" fontId="63" fillId="29" borderId="49" xfId="0" applyFont="1" applyFill="1" applyBorder="1" applyAlignment="1">
      <alignment horizontal="center" vertical="center" wrapText="1"/>
    </xf>
    <xf numFmtId="0" fontId="63" fillId="29" borderId="51" xfId="0" applyFont="1" applyFill="1" applyBorder="1" applyAlignment="1">
      <alignment horizontal="center" vertical="center" wrapText="1"/>
    </xf>
    <xf numFmtId="0" fontId="63" fillId="29" borderId="49" xfId="0" applyFont="1" applyFill="1" applyBorder="1" applyAlignment="1">
      <alignment horizontal="left" vertical="center" wrapText="1" indent="1"/>
    </xf>
    <xf numFmtId="0" fontId="63" fillId="29" borderId="51" xfId="0" applyFont="1" applyFill="1" applyBorder="1" applyAlignment="1">
      <alignment horizontal="left" vertical="center" wrapText="1" indent="1"/>
    </xf>
    <xf numFmtId="0" fontId="61" fillId="0" borderId="1" xfId="0" applyFont="1" applyBorder="1" applyAlignment="1">
      <alignment horizontal="center" vertical="center" wrapText="1"/>
    </xf>
    <xf numFmtId="0" fontId="30" fillId="0" borderId="1" xfId="80" applyFont="1" applyFill="1" applyBorder="1" applyAlignment="1">
      <alignment horizontal="center" vertical="center"/>
    </xf>
    <xf numFmtId="0" fontId="30" fillId="30" borderId="1" xfId="80" applyFont="1" applyFill="1" applyBorder="1" applyAlignment="1">
      <alignment horizontal="center" vertical="center"/>
    </xf>
    <xf numFmtId="0" fontId="30" fillId="0" borderId="1" xfId="80" applyFont="1" applyFill="1" applyBorder="1" applyAlignment="1">
      <alignment horizontal="center" vertical="center" wrapText="1"/>
    </xf>
    <xf numFmtId="0" fontId="30" fillId="30" borderId="1" xfId="80" applyFont="1" applyFill="1" applyBorder="1" applyAlignment="1">
      <alignment horizontal="center" vertical="center"/>
    </xf>
    <xf numFmtId="0" fontId="30" fillId="0" borderId="1" xfId="80" applyFont="1" applyFill="1" applyBorder="1" applyAlignment="1">
      <alignment horizontal="center" vertical="center"/>
    </xf>
    <xf numFmtId="167" fontId="31" fillId="30" borderId="1" xfId="50" applyNumberFormat="1" applyFont="1" applyFill="1" applyBorder="1" applyAlignment="1">
      <alignment horizontal="center" vertical="center"/>
    </xf>
    <xf numFmtId="0" fontId="31" fillId="0" borderId="1" xfId="50" applyFont="1" applyFill="1" applyBorder="1" applyAlignment="1">
      <alignment horizontal="center" vertical="center" wrapText="1"/>
    </xf>
    <xf numFmtId="182" fontId="31" fillId="30" borderId="1" xfId="50" applyNumberFormat="1" applyFont="1" applyFill="1" applyBorder="1" applyAlignment="1">
      <alignment horizontal="center" vertical="center"/>
    </xf>
    <xf numFmtId="167" fontId="30" fillId="30" borderId="1" xfId="50" applyNumberFormat="1" applyFont="1" applyFill="1" applyBorder="1" applyAlignment="1">
      <alignment horizontal="center" vertical="center"/>
    </xf>
    <xf numFmtId="167" fontId="32" fillId="0" borderId="0" xfId="50" applyNumberFormat="1" applyFont="1" applyFill="1" applyAlignment="1">
      <alignment vertical="center"/>
    </xf>
    <xf numFmtId="182" fontId="32" fillId="0" borderId="0" xfId="50" applyNumberFormat="1" applyFont="1" applyFill="1" applyAlignment="1">
      <alignment vertical="center"/>
    </xf>
    <xf numFmtId="172" fontId="32" fillId="0" borderId="0" xfId="50" applyNumberFormat="1" applyFont="1" applyFill="1" applyAlignment="1">
      <alignment vertical="center"/>
    </xf>
    <xf numFmtId="0" fontId="31" fillId="0" borderId="0" xfId="80" applyFont="1" applyFill="1" applyAlignment="1">
      <alignment horizontal="left" vertical="center"/>
    </xf>
    <xf numFmtId="0" fontId="31" fillId="30" borderId="0" xfId="80" applyFont="1" applyFill="1" applyAlignment="1">
      <alignment vertical="center"/>
    </xf>
    <xf numFmtId="167" fontId="31" fillId="0" borderId="0" xfId="80" applyNumberFormat="1" applyFont="1" applyFill="1" applyAlignment="1">
      <alignment vertical="center"/>
    </xf>
    <xf numFmtId="0" fontId="31" fillId="0" borderId="0" xfId="80" applyFont="1" applyFill="1" applyAlignment="1">
      <alignment horizontal="center" vertical="center"/>
    </xf>
    <xf numFmtId="0" fontId="31" fillId="0" borderId="13" xfId="80" applyFont="1" applyFill="1" applyBorder="1" applyAlignment="1">
      <alignment horizontal="center" vertical="center" wrapText="1"/>
    </xf>
    <xf numFmtId="0" fontId="31" fillId="30" borderId="13" xfId="80" applyFont="1" applyFill="1" applyBorder="1" applyAlignment="1">
      <alignment horizontal="center" vertical="center"/>
    </xf>
    <xf numFmtId="167" fontId="31" fillId="0" borderId="13" xfId="80" applyNumberFormat="1" applyFont="1" applyFill="1" applyBorder="1" applyAlignment="1">
      <alignment horizontal="center" vertical="center"/>
    </xf>
    <xf numFmtId="167" fontId="45" fillId="0" borderId="13" xfId="80" applyNumberFormat="1" applyFont="1" applyFill="1" applyBorder="1" applyAlignment="1">
      <alignment horizontal="center" vertical="center"/>
    </xf>
    <xf numFmtId="167" fontId="31" fillId="0" borderId="13" xfId="50" applyNumberFormat="1" applyFont="1" applyFill="1" applyBorder="1" applyAlignment="1">
      <alignment horizontal="center" vertical="center"/>
    </xf>
    <xf numFmtId="167" fontId="32" fillId="0" borderId="13" xfId="50" applyNumberFormat="1" applyFont="1" applyFill="1" applyBorder="1" applyAlignment="1">
      <alignment horizontal="center" vertical="center"/>
    </xf>
    <xf numFmtId="167" fontId="30" fillId="0" borderId="1" xfId="80" applyNumberFormat="1" applyFont="1" applyFill="1" applyBorder="1" applyAlignment="1">
      <alignment horizontal="center" vertical="center"/>
    </xf>
    <xf numFmtId="167" fontId="65" fillId="0" borderId="1" xfId="80" applyNumberFormat="1" applyFont="1" applyFill="1" applyBorder="1" applyAlignment="1">
      <alignment horizontal="center" vertical="center"/>
    </xf>
    <xf numFmtId="167" fontId="66" fillId="0" borderId="1" xfId="50" applyNumberFormat="1" applyFont="1" applyFill="1" applyBorder="1" applyAlignment="1">
      <alignment horizontal="center" vertical="center"/>
    </xf>
  </cellXfs>
  <cellStyles count="96">
    <cellStyle name="20% - Акцент1 2" xfId="1"/>
    <cellStyle name="20% - Акцент2 2" xfId="2"/>
    <cellStyle name="20% - Акцент3 2" xfId="3"/>
    <cellStyle name="20% - Акцент4 2" xfId="4"/>
    <cellStyle name="20% - Акцент5 2" xfId="5"/>
    <cellStyle name="20% - Акцент6 2" xfId="6"/>
    <cellStyle name="40% - Акцент1 2" xfId="7"/>
    <cellStyle name="40% - Акцент2 2" xfId="8"/>
    <cellStyle name="40% - Акцент3 2" xfId="9"/>
    <cellStyle name="40% - Акцент4 2" xfId="10"/>
    <cellStyle name="40% - Акцент5 2" xfId="11"/>
    <cellStyle name="40% - Акцент6 2" xfId="12"/>
    <cellStyle name="60% - Акцент1 2" xfId="13"/>
    <cellStyle name="60% - Акцент2 2" xfId="14"/>
    <cellStyle name="60% - Акцент3 2" xfId="15"/>
    <cellStyle name="60% - Акцент4 2" xfId="16"/>
    <cellStyle name="60% - Акцент5 2" xfId="17"/>
    <cellStyle name="60% - Акцент6 2" xfId="18"/>
    <cellStyle name="Акцент1 2" xfId="19"/>
    <cellStyle name="Акцент2 2" xfId="20"/>
    <cellStyle name="Акцент3 2" xfId="21"/>
    <cellStyle name="Акцент4 2" xfId="22"/>
    <cellStyle name="Акцент5 2" xfId="23"/>
    <cellStyle name="Акцент6 2" xfId="24"/>
    <cellStyle name="Ввод  2" xfId="25"/>
    <cellStyle name="Вывод 2" xfId="26"/>
    <cellStyle name="Вычисление 2" xfId="27"/>
    <cellStyle name="Данные (редактируемые)" xfId="28"/>
    <cellStyle name="Данные (только для чтения)" xfId="29"/>
    <cellStyle name="Данные для удаления" xfId="30"/>
    <cellStyle name="Денежный 2" xfId="31"/>
    <cellStyle name="Заголовки полей" xfId="32"/>
    <cellStyle name="Заголовки полей [печать]" xfId="33"/>
    <cellStyle name="Заголовок 1 2" xfId="34"/>
    <cellStyle name="Заголовок 2 2" xfId="35"/>
    <cellStyle name="Заголовок 3 2" xfId="36"/>
    <cellStyle name="Заголовок 4 2" xfId="37"/>
    <cellStyle name="Заголовок меры" xfId="38"/>
    <cellStyle name="Заголовок показателя [печать]" xfId="39"/>
    <cellStyle name="Заголовок показателя константы" xfId="40"/>
    <cellStyle name="Заголовок результата расчета" xfId="41"/>
    <cellStyle name="Заголовок свободного показателя" xfId="42"/>
    <cellStyle name="Значение фильтра" xfId="43"/>
    <cellStyle name="Значение фильтра [печать]" xfId="44"/>
    <cellStyle name="Информация о задаче" xfId="45"/>
    <cellStyle name="Итог 2" xfId="46"/>
    <cellStyle name="Контрольная ячейка 2" xfId="47"/>
    <cellStyle name="Название 2" xfId="48"/>
    <cellStyle name="Нейтральный 2" xfId="49"/>
    <cellStyle name="Обычный" xfId="0" builtinId="0"/>
    <cellStyle name="Обычный 2" xfId="50"/>
    <cellStyle name="Обычный 2 2" xfId="51"/>
    <cellStyle name="Обычный 2 3" xfId="52"/>
    <cellStyle name="Обычный 2 3 2" xfId="53"/>
    <cellStyle name="Обычный 2 4" xfId="90"/>
    <cellStyle name="Обычный 2 4 2" xfId="93"/>
    <cellStyle name="Обычный 2 5" xfId="91"/>
    <cellStyle name="Обычный 2 5 2" xfId="95"/>
    <cellStyle name="Обычный 2 6" xfId="92"/>
    <cellStyle name="Обычный 3" xfId="54"/>
    <cellStyle name="Обычный 3 2" xfId="83"/>
    <cellStyle name="Обычный 4" xfId="55"/>
    <cellStyle name="Обычный 5" xfId="82"/>
    <cellStyle name="Обычный 5 2" xfId="84"/>
    <cellStyle name="Обычный 6" xfId="85"/>
    <cellStyle name="Обычный 7" xfId="86"/>
    <cellStyle name="Обычный 8" xfId="94"/>
    <cellStyle name="Обычный_Взаимные Москв 9мес2006" xfId="87"/>
    <cellStyle name="Обычный_прил.финпом" xfId="81"/>
    <cellStyle name="Обычный_республиканский  2005 г" xfId="80"/>
    <cellStyle name="Отдельная ячейка" xfId="56"/>
    <cellStyle name="Отдельная ячейка - константа" xfId="57"/>
    <cellStyle name="Отдельная ячейка - константа [печать]" xfId="58"/>
    <cellStyle name="Отдельная ячейка [печать]" xfId="59"/>
    <cellStyle name="Отдельная ячейка-результат" xfId="60"/>
    <cellStyle name="Отдельная ячейка-результат [печать]" xfId="61"/>
    <cellStyle name="Плохой 2" xfId="62"/>
    <cellStyle name="Пояснение 2" xfId="63"/>
    <cellStyle name="Примечание 2" xfId="64"/>
    <cellStyle name="Примечание 3" xfId="65"/>
    <cellStyle name="Процентный 2" xfId="66"/>
    <cellStyle name="Свойства элементов измерения" xfId="67"/>
    <cellStyle name="Свойства элементов измерения [печать]" xfId="68"/>
    <cellStyle name="Связанная ячейка 2" xfId="69"/>
    <cellStyle name="Текст предупреждения 2" xfId="70"/>
    <cellStyle name="Финансовый 2" xfId="71"/>
    <cellStyle name="Финансовый 3" xfId="72"/>
    <cellStyle name="Финансовый 3 2" xfId="73"/>
    <cellStyle name="Финансовый 4" xfId="74"/>
    <cellStyle name="Финансовый 4 2" xfId="88"/>
    <cellStyle name="Финансовый 5" xfId="75"/>
    <cellStyle name="Финансовый 5 2" xfId="89"/>
    <cellStyle name="Финансовый 6" xfId="76"/>
    <cellStyle name="Хороший 2" xfId="77"/>
    <cellStyle name="Элементы осей" xfId="78"/>
    <cellStyle name="Элементы осей [печать]" xfId="79"/>
  </cellStyles>
  <dxfs count="0"/>
  <tableStyles count="0" defaultTableStyle="TableStyleMedium9" defaultPivotStyle="PivotStyleLight16"/>
  <colors>
    <mruColors>
      <color rgb="FFFFCC66"/>
      <color rgb="FF99FF33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3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explosion val="25"/>
          <c:dLbls>
            <c:dLblPos val="bestFit"/>
            <c:showLegendKey val="0"/>
            <c:showVal val="1"/>
            <c:showCatName val="0"/>
            <c:showSerName val="0"/>
            <c:showPercent val="0"/>
            <c:showBubbleSize val="0"/>
            <c:showLeaderLines val="1"/>
          </c:dLbls>
          <c:cat>
            <c:strRef>
              <c:f>(Лист2!$B$8:$B$11,Лист2!$B$15,Лист2!$B$18,Лист2!$B$25,Лист2!$B$29,Лист2!$B$34:$B$37)</c:f>
              <c:strCache>
                <c:ptCount val="11"/>
                <c:pt idx="0">
                  <c:v>Общегосударственные расходы</c:v>
                </c:pt>
                <c:pt idx="1">
                  <c:v>Национальная оборона</c:v>
                </c:pt>
                <c:pt idx="2">
                  <c:v>Национальная безопасность</c:v>
                </c:pt>
                <c:pt idx="3">
                  <c:v>Национальная экономика</c:v>
                </c:pt>
                <c:pt idx="4">
                  <c:v>Жилищно-коммунальное хозяйство</c:v>
                </c:pt>
                <c:pt idx="5">
                  <c:v>Образование</c:v>
                </c:pt>
                <c:pt idx="6">
                  <c:v>Культура, кинематография</c:v>
                </c:pt>
                <c:pt idx="7">
                  <c:v>Социальная политика</c:v>
                </c:pt>
                <c:pt idx="8">
                  <c:v>Физическая культура и спорт</c:v>
                </c:pt>
                <c:pt idx="9">
                  <c:v>Средства массовой информации</c:v>
                </c:pt>
                <c:pt idx="10">
                  <c:v>Межбюджетные трансферты общего характера бюджетам муниципальных образований</c:v>
                </c:pt>
              </c:strCache>
            </c:strRef>
          </c:cat>
          <c:val>
            <c:numRef>
              <c:f>(Лист2!$D$8:$D$11,Лист2!$D$15,Лист2!$D$18,Лист2!$D$25,Лист2!$D$29,Лист2!$D$34:$D$37)</c:f>
              <c:numCache>
                <c:formatCode>#,##0.0</c:formatCode>
                <c:ptCount val="11"/>
                <c:pt idx="0">
                  <c:v>35246.828849999998</c:v>
                </c:pt>
                <c:pt idx="1">
                  <c:v>1081.2</c:v>
                </c:pt>
                <c:pt idx="2">
                  <c:v>1646.2645099999997</c:v>
                </c:pt>
                <c:pt idx="3">
                  <c:v>5606.2152100000003</c:v>
                </c:pt>
                <c:pt idx="4">
                  <c:v>6018.5953799999997</c:v>
                </c:pt>
                <c:pt idx="5">
                  <c:v>316301.17125999997</c:v>
                </c:pt>
                <c:pt idx="6">
                  <c:v>50474.313000000002</c:v>
                </c:pt>
                <c:pt idx="7">
                  <c:v>58660.588279999996</c:v>
                </c:pt>
                <c:pt idx="8">
                  <c:v>1182.9516900000001</c:v>
                </c:pt>
                <c:pt idx="9">
                  <c:v>82.85</c:v>
                </c:pt>
                <c:pt idx="10">
                  <c:v>16964.733339999999</c:v>
                </c:pt>
              </c:numCache>
            </c:numRef>
          </c:val>
        </c:ser>
        <c:dLbls>
          <c:dLblPos val="bestFit"/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1600200</xdr:colOff>
      <xdr:row>44</xdr:row>
      <xdr:rowOff>61912</xdr:rowOff>
    </xdr:from>
    <xdr:to>
      <xdr:col>4</xdr:col>
      <xdr:colOff>1085850</xdr:colOff>
      <xdr:row>61</xdr:row>
      <xdr:rowOff>52387</xdr:rowOff>
    </xdr:to>
    <xdr:graphicFrame macro="">
      <xdr:nvGraphicFramePr>
        <xdr:cNvPr id="2" name="Диаграмма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2017/Documents/&#1054;&#1042;&#1070;&#1056;/2019/&#1041;&#1102;&#1076;&#1078;&#1077;&#1090;%202020%20&#1075;&#1086;&#1076;/&#1041;&#1070;&#1044;&#1046;&#1045;&#1058;/&#1041;&#1070;&#1044;&#1046;&#1045;&#1058;%20&#1053;&#1040;%202020-2022&#1075;&#1086;&#1076;&#1099;&#1075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2017/Documents/&#1054;&#1042;&#1070;&#1056;/2019/&#1054;&#1058;&#1063;&#1045;&#1058;%20&#1086;&#1073;%20&#1080;&#1089;&#1087;&#1086;&#1083;&#1085;&#1077;&#1085;&#1080;&#1080;/&#1043;&#1086;&#1076;&#1086;&#1074;&#1086;&#1081;/&#1043;&#1086;&#1076;&#1086;&#1074;&#1086;&#1081;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er/Downloads/1%20&#1082;&#1074;&#1072;&#1088;&#1090;&#1072;&#1083;%202020%20&#1075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 "/>
      <sheetName val="4"/>
      <sheetName val="5"/>
      <sheetName val="6"/>
      <sheetName val="7+"/>
      <sheetName val="8"/>
      <sheetName val="9"/>
      <sheetName val="10"/>
      <sheetName val="11"/>
      <sheetName val="12"/>
      <sheetName val="13"/>
      <sheetName val="14"/>
      <sheetName val="15"/>
      <sheetName val="16"/>
      <sheetName val="17"/>
      <sheetName val="18+"/>
      <sheetName val="19+"/>
      <sheetName val="20"/>
      <sheetName val="23+"/>
      <sheetName val="24"/>
      <sheetName val="Лист5"/>
      <sheetName val="Лист1"/>
      <sheetName val="Лист2"/>
      <sheetName val="Лист3"/>
      <sheetName val="Лист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162">
          <cell r="M162">
            <v>23309.439999999999</v>
          </cell>
        </row>
        <row r="184">
          <cell r="M184">
            <v>3598.0819999999999</v>
          </cell>
        </row>
        <row r="201">
          <cell r="M201">
            <v>10020.678</v>
          </cell>
        </row>
        <row r="219">
          <cell r="M219">
            <v>1414.99</v>
          </cell>
        </row>
        <row r="229">
          <cell r="M229">
            <v>292</v>
          </cell>
        </row>
        <row r="231">
          <cell r="M231">
            <v>1591.8789999999999</v>
          </cell>
        </row>
        <row r="236">
          <cell r="M236">
            <v>15877.17</v>
          </cell>
        </row>
        <row r="239">
          <cell r="M239">
            <v>3661.1170000000002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5"/>
      <sheetName val="9"/>
      <sheetName val="11"/>
      <sheetName val="13+"/>
      <sheetName val="15"/>
      <sheetName val="16+"/>
      <sheetName val="17+"/>
      <sheetName val="18+"/>
      <sheetName val="19+"/>
      <sheetName val="17+ (2)"/>
      <sheetName val="5 (2)"/>
      <sheetName val="резервный"/>
      <sheetName val="Лист1"/>
      <sheetName val="5 (3)"/>
      <sheetName val="Пособии"/>
    </sheetNames>
    <sheetDataSet>
      <sheetData sheetId="0">
        <row r="20">
          <cell r="C20">
            <v>-1304.7107100000139</v>
          </cell>
          <cell r="D20">
            <v>-1113.5017400001525</v>
          </cell>
        </row>
      </sheetData>
      <sheetData sheetId="1"/>
      <sheetData sheetId="2">
        <row r="19">
          <cell r="S19">
            <v>500436.53951999999</v>
          </cell>
          <cell r="T19">
            <v>493478.71951999998</v>
          </cell>
        </row>
        <row r="20">
          <cell r="S20">
            <v>35499.25434</v>
          </cell>
          <cell r="T20">
            <v>35246.828849999998</v>
          </cell>
        </row>
        <row r="196">
          <cell r="S196">
            <v>1081.2</v>
          </cell>
          <cell r="T196">
            <v>1081.2</v>
          </cell>
        </row>
        <row r="210">
          <cell r="S210">
            <v>1646.2934700000001</v>
          </cell>
          <cell r="T210">
            <v>1646.2645099999997</v>
          </cell>
        </row>
        <row r="224">
          <cell r="S224">
            <v>3210.6912199999997</v>
          </cell>
          <cell r="T224">
            <v>3210.5284299999998</v>
          </cell>
        </row>
        <row r="255">
          <cell r="S255">
            <v>1057.3706</v>
          </cell>
          <cell r="T255">
            <v>1009.8941</v>
          </cell>
        </row>
        <row r="262">
          <cell r="S262">
            <v>1385.8382700000002</v>
          </cell>
          <cell r="T262">
            <v>1385.79268</v>
          </cell>
        </row>
        <row r="280">
          <cell r="S280">
            <v>1908.3855000000001</v>
          </cell>
          <cell r="T280">
            <v>1886.2850000000001</v>
          </cell>
        </row>
        <row r="299">
          <cell r="S299">
            <v>4132.3140000000003</v>
          </cell>
          <cell r="T299">
            <v>4132.3103799999999</v>
          </cell>
        </row>
        <row r="313">
          <cell r="S313">
            <v>103923.79003999999</v>
          </cell>
          <cell r="T313">
            <v>101755.39501000001</v>
          </cell>
        </row>
        <row r="326">
          <cell r="S326">
            <v>177603.49064</v>
          </cell>
          <cell r="T326">
            <v>175599.38703999997</v>
          </cell>
        </row>
        <row r="357">
          <cell r="S357">
            <v>20142.355349999998</v>
          </cell>
          <cell r="T357">
            <v>19528.336309999999</v>
          </cell>
        </row>
        <row r="373">
          <cell r="S373">
            <v>1439.05</v>
          </cell>
          <cell r="T373">
            <v>1439.0450499999999</v>
          </cell>
        </row>
        <row r="380">
          <cell r="S380">
            <v>18017.300360000001</v>
          </cell>
          <cell r="T380">
            <v>17979.007850000002</v>
          </cell>
        </row>
        <row r="431">
          <cell r="S431">
            <v>48342.636590000009</v>
          </cell>
          <cell r="T431">
            <v>47659.617969999999</v>
          </cell>
        </row>
        <row r="479">
          <cell r="S479">
            <v>2814.7010300000002</v>
          </cell>
          <cell r="T479">
            <v>2814.6950299999999</v>
          </cell>
        </row>
        <row r="503">
          <cell r="S503">
            <v>213.01000000000002</v>
          </cell>
          <cell r="T503">
            <v>213.00800000000001</v>
          </cell>
        </row>
        <row r="511">
          <cell r="S511">
            <v>26071.405589999998</v>
          </cell>
          <cell r="T511">
            <v>24999.150139999998</v>
          </cell>
        </row>
        <row r="610">
          <cell r="S610">
            <v>30183.15</v>
          </cell>
          <cell r="T610">
            <v>30127.814869999998</v>
          </cell>
        </row>
        <row r="631">
          <cell r="S631">
            <v>3533.71821</v>
          </cell>
          <cell r="T631">
            <v>3533.62327</v>
          </cell>
        </row>
        <row r="654">
          <cell r="S654">
            <v>1183</v>
          </cell>
          <cell r="T654">
            <v>1182.9516900000001</v>
          </cell>
        </row>
        <row r="675">
          <cell r="S675">
            <v>82.850970000000004</v>
          </cell>
          <cell r="T675">
            <v>82.85</v>
          </cell>
        </row>
        <row r="682">
          <cell r="S682">
            <v>16964.733339999999</v>
          </cell>
          <cell r="T682">
            <v>16964.733339999999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5"/>
      <sheetName val="9"/>
      <sheetName val="11"/>
      <sheetName val="13+"/>
      <sheetName val="15"/>
      <sheetName val="16"/>
      <sheetName val="17"/>
      <sheetName val="18+"/>
      <sheetName val="19+"/>
      <sheetName val="20"/>
      <sheetName val="5 (2)"/>
      <sheetName val="резервный"/>
    </sheetNames>
    <sheetDataSet>
      <sheetData sheetId="0"/>
      <sheetData sheetId="1">
        <row r="67">
          <cell r="C67">
            <v>3480</v>
          </cell>
          <cell r="D67">
            <v>550</v>
          </cell>
        </row>
        <row r="70">
          <cell r="C70">
            <v>4407.8999999999996</v>
          </cell>
          <cell r="D70">
            <v>1081.8710000000001</v>
          </cell>
        </row>
        <row r="71">
          <cell r="C71">
            <v>4386</v>
          </cell>
        </row>
        <row r="77">
          <cell r="C77">
            <v>106</v>
          </cell>
        </row>
        <row r="84">
          <cell r="C84">
            <v>3701.2</v>
          </cell>
          <cell r="D84">
            <v>780</v>
          </cell>
        </row>
        <row r="85">
          <cell r="C85">
            <v>3055</v>
          </cell>
          <cell r="D85">
            <v>1536.45</v>
          </cell>
        </row>
        <row r="86">
          <cell r="C86">
            <v>20252.8</v>
          </cell>
        </row>
        <row r="88">
          <cell r="B88" t="str">
            <v>Субвенции бюджетам муниципальных районов на осуществление ежемесячной денежной выплаты, назначаемой в случае рождения третьего ребенка или последующих детей до достижения ребенком возраста трех лет</v>
          </cell>
          <cell r="D88">
            <v>184.80426</v>
          </cell>
        </row>
        <row r="89">
          <cell r="C89">
            <v>12658.1</v>
          </cell>
          <cell r="D89">
            <v>3190.9169999999999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1:N113"/>
  <sheetViews>
    <sheetView view="pageBreakPreview" topLeftCell="A19" workbookViewId="0">
      <selection activeCell="I13" sqref="I13"/>
    </sheetView>
  </sheetViews>
  <sheetFormatPr defaultRowHeight="12.75" x14ac:dyDescent="0.2"/>
  <cols>
    <col min="1" max="1" width="24.42578125" style="1" customWidth="1"/>
    <col min="2" max="2" width="65.7109375" style="1" customWidth="1"/>
    <col min="3" max="3" width="13.42578125" style="1" customWidth="1"/>
    <col min="4" max="4" width="12.85546875" style="1" bestFit="1" customWidth="1"/>
    <col min="5" max="5" width="13.42578125" style="1" bestFit="1" customWidth="1"/>
    <col min="6" max="6" width="12.28515625" style="1" bestFit="1" customWidth="1"/>
    <col min="7" max="7" width="9.7109375" style="1" bestFit="1" customWidth="1"/>
    <col min="8" max="256" width="9.140625" style="1"/>
    <col min="257" max="257" width="24.42578125" style="1" customWidth="1"/>
    <col min="258" max="258" width="65.7109375" style="1" customWidth="1"/>
    <col min="259" max="259" width="13.42578125" style="1" customWidth="1"/>
    <col min="260" max="260" width="12.85546875" style="1" bestFit="1" customWidth="1"/>
    <col min="261" max="261" width="13.42578125" style="1" bestFit="1" customWidth="1"/>
    <col min="262" max="262" width="12.28515625" style="1" bestFit="1" customWidth="1"/>
    <col min="263" max="263" width="9.7109375" style="1" bestFit="1" customWidth="1"/>
    <col min="264" max="512" width="9.140625" style="1"/>
    <col min="513" max="513" width="24.42578125" style="1" customWidth="1"/>
    <col min="514" max="514" width="65.7109375" style="1" customWidth="1"/>
    <col min="515" max="515" width="13.42578125" style="1" customWidth="1"/>
    <col min="516" max="516" width="12.85546875" style="1" bestFit="1" customWidth="1"/>
    <col min="517" max="517" width="13.42578125" style="1" bestFit="1" customWidth="1"/>
    <col min="518" max="518" width="12.28515625" style="1" bestFit="1" customWidth="1"/>
    <col min="519" max="519" width="9.7109375" style="1" bestFit="1" customWidth="1"/>
    <col min="520" max="768" width="9.140625" style="1"/>
    <col min="769" max="769" width="24.42578125" style="1" customWidth="1"/>
    <col min="770" max="770" width="65.7109375" style="1" customWidth="1"/>
    <col min="771" max="771" width="13.42578125" style="1" customWidth="1"/>
    <col min="772" max="772" width="12.85546875" style="1" bestFit="1" customWidth="1"/>
    <col min="773" max="773" width="13.42578125" style="1" bestFit="1" customWidth="1"/>
    <col min="774" max="774" width="12.28515625" style="1" bestFit="1" customWidth="1"/>
    <col min="775" max="775" width="9.7109375" style="1" bestFit="1" customWidth="1"/>
    <col min="776" max="1024" width="9.140625" style="1"/>
    <col min="1025" max="1025" width="24.42578125" style="1" customWidth="1"/>
    <col min="1026" max="1026" width="65.7109375" style="1" customWidth="1"/>
    <col min="1027" max="1027" width="13.42578125" style="1" customWidth="1"/>
    <col min="1028" max="1028" width="12.85546875" style="1" bestFit="1" customWidth="1"/>
    <col min="1029" max="1029" width="13.42578125" style="1" bestFit="1" customWidth="1"/>
    <col min="1030" max="1030" width="12.28515625" style="1" bestFit="1" customWidth="1"/>
    <col min="1031" max="1031" width="9.7109375" style="1" bestFit="1" customWidth="1"/>
    <col min="1032" max="1280" width="9.140625" style="1"/>
    <col min="1281" max="1281" width="24.42578125" style="1" customWidth="1"/>
    <col min="1282" max="1282" width="65.7109375" style="1" customWidth="1"/>
    <col min="1283" max="1283" width="13.42578125" style="1" customWidth="1"/>
    <col min="1284" max="1284" width="12.85546875" style="1" bestFit="1" customWidth="1"/>
    <col min="1285" max="1285" width="13.42578125" style="1" bestFit="1" customWidth="1"/>
    <col min="1286" max="1286" width="12.28515625" style="1" bestFit="1" customWidth="1"/>
    <col min="1287" max="1287" width="9.7109375" style="1" bestFit="1" customWidth="1"/>
    <col min="1288" max="1536" width="9.140625" style="1"/>
    <col min="1537" max="1537" width="24.42578125" style="1" customWidth="1"/>
    <col min="1538" max="1538" width="65.7109375" style="1" customWidth="1"/>
    <col min="1539" max="1539" width="13.42578125" style="1" customWidth="1"/>
    <col min="1540" max="1540" width="12.85546875" style="1" bestFit="1" customWidth="1"/>
    <col min="1541" max="1541" width="13.42578125" style="1" bestFit="1" customWidth="1"/>
    <col min="1542" max="1542" width="12.28515625" style="1" bestFit="1" customWidth="1"/>
    <col min="1543" max="1543" width="9.7109375" style="1" bestFit="1" customWidth="1"/>
    <col min="1544" max="1792" width="9.140625" style="1"/>
    <col min="1793" max="1793" width="24.42578125" style="1" customWidth="1"/>
    <col min="1794" max="1794" width="65.7109375" style="1" customWidth="1"/>
    <col min="1795" max="1795" width="13.42578125" style="1" customWidth="1"/>
    <col min="1796" max="1796" width="12.85546875" style="1" bestFit="1" customWidth="1"/>
    <col min="1797" max="1797" width="13.42578125" style="1" bestFit="1" customWidth="1"/>
    <col min="1798" max="1798" width="12.28515625" style="1" bestFit="1" customWidth="1"/>
    <col min="1799" max="1799" width="9.7109375" style="1" bestFit="1" customWidth="1"/>
    <col min="1800" max="2048" width="9.140625" style="1"/>
    <col min="2049" max="2049" width="24.42578125" style="1" customWidth="1"/>
    <col min="2050" max="2050" width="65.7109375" style="1" customWidth="1"/>
    <col min="2051" max="2051" width="13.42578125" style="1" customWidth="1"/>
    <col min="2052" max="2052" width="12.85546875" style="1" bestFit="1" customWidth="1"/>
    <col min="2053" max="2053" width="13.42578125" style="1" bestFit="1" customWidth="1"/>
    <col min="2054" max="2054" width="12.28515625" style="1" bestFit="1" customWidth="1"/>
    <col min="2055" max="2055" width="9.7109375" style="1" bestFit="1" customWidth="1"/>
    <col min="2056" max="2304" width="9.140625" style="1"/>
    <col min="2305" max="2305" width="24.42578125" style="1" customWidth="1"/>
    <col min="2306" max="2306" width="65.7109375" style="1" customWidth="1"/>
    <col min="2307" max="2307" width="13.42578125" style="1" customWidth="1"/>
    <col min="2308" max="2308" width="12.85546875" style="1" bestFit="1" customWidth="1"/>
    <col min="2309" max="2309" width="13.42578125" style="1" bestFit="1" customWidth="1"/>
    <col min="2310" max="2310" width="12.28515625" style="1" bestFit="1" customWidth="1"/>
    <col min="2311" max="2311" width="9.7109375" style="1" bestFit="1" customWidth="1"/>
    <col min="2312" max="2560" width="9.140625" style="1"/>
    <col min="2561" max="2561" width="24.42578125" style="1" customWidth="1"/>
    <col min="2562" max="2562" width="65.7109375" style="1" customWidth="1"/>
    <col min="2563" max="2563" width="13.42578125" style="1" customWidth="1"/>
    <col min="2564" max="2564" width="12.85546875" style="1" bestFit="1" customWidth="1"/>
    <col min="2565" max="2565" width="13.42578125" style="1" bestFit="1" customWidth="1"/>
    <col min="2566" max="2566" width="12.28515625" style="1" bestFit="1" customWidth="1"/>
    <col min="2567" max="2567" width="9.7109375" style="1" bestFit="1" customWidth="1"/>
    <col min="2568" max="2816" width="9.140625" style="1"/>
    <col min="2817" max="2817" width="24.42578125" style="1" customWidth="1"/>
    <col min="2818" max="2818" width="65.7109375" style="1" customWidth="1"/>
    <col min="2819" max="2819" width="13.42578125" style="1" customWidth="1"/>
    <col min="2820" max="2820" width="12.85546875" style="1" bestFit="1" customWidth="1"/>
    <col min="2821" max="2821" width="13.42578125" style="1" bestFit="1" customWidth="1"/>
    <col min="2822" max="2822" width="12.28515625" style="1" bestFit="1" customWidth="1"/>
    <col min="2823" max="2823" width="9.7109375" style="1" bestFit="1" customWidth="1"/>
    <col min="2824" max="3072" width="9.140625" style="1"/>
    <col min="3073" max="3073" width="24.42578125" style="1" customWidth="1"/>
    <col min="3074" max="3074" width="65.7109375" style="1" customWidth="1"/>
    <col min="3075" max="3075" width="13.42578125" style="1" customWidth="1"/>
    <col min="3076" max="3076" width="12.85546875" style="1" bestFit="1" customWidth="1"/>
    <col min="3077" max="3077" width="13.42578125" style="1" bestFit="1" customWidth="1"/>
    <col min="3078" max="3078" width="12.28515625" style="1" bestFit="1" customWidth="1"/>
    <col min="3079" max="3079" width="9.7109375" style="1" bestFit="1" customWidth="1"/>
    <col min="3080" max="3328" width="9.140625" style="1"/>
    <col min="3329" max="3329" width="24.42578125" style="1" customWidth="1"/>
    <col min="3330" max="3330" width="65.7109375" style="1" customWidth="1"/>
    <col min="3331" max="3331" width="13.42578125" style="1" customWidth="1"/>
    <col min="3332" max="3332" width="12.85546875" style="1" bestFit="1" customWidth="1"/>
    <col min="3333" max="3333" width="13.42578125" style="1" bestFit="1" customWidth="1"/>
    <col min="3334" max="3334" width="12.28515625" style="1" bestFit="1" customWidth="1"/>
    <col min="3335" max="3335" width="9.7109375" style="1" bestFit="1" customWidth="1"/>
    <col min="3336" max="3584" width="9.140625" style="1"/>
    <col min="3585" max="3585" width="24.42578125" style="1" customWidth="1"/>
    <col min="3586" max="3586" width="65.7109375" style="1" customWidth="1"/>
    <col min="3587" max="3587" width="13.42578125" style="1" customWidth="1"/>
    <col min="3588" max="3588" width="12.85546875" style="1" bestFit="1" customWidth="1"/>
    <col min="3589" max="3589" width="13.42578125" style="1" bestFit="1" customWidth="1"/>
    <col min="3590" max="3590" width="12.28515625" style="1" bestFit="1" customWidth="1"/>
    <col min="3591" max="3591" width="9.7109375" style="1" bestFit="1" customWidth="1"/>
    <col min="3592" max="3840" width="9.140625" style="1"/>
    <col min="3841" max="3841" width="24.42578125" style="1" customWidth="1"/>
    <col min="3842" max="3842" width="65.7109375" style="1" customWidth="1"/>
    <col min="3843" max="3843" width="13.42578125" style="1" customWidth="1"/>
    <col min="3844" max="3844" width="12.85546875" style="1" bestFit="1" customWidth="1"/>
    <col min="3845" max="3845" width="13.42578125" style="1" bestFit="1" customWidth="1"/>
    <col min="3846" max="3846" width="12.28515625" style="1" bestFit="1" customWidth="1"/>
    <col min="3847" max="3847" width="9.7109375" style="1" bestFit="1" customWidth="1"/>
    <col min="3848" max="4096" width="9.140625" style="1"/>
    <col min="4097" max="4097" width="24.42578125" style="1" customWidth="1"/>
    <col min="4098" max="4098" width="65.7109375" style="1" customWidth="1"/>
    <col min="4099" max="4099" width="13.42578125" style="1" customWidth="1"/>
    <col min="4100" max="4100" width="12.85546875" style="1" bestFit="1" customWidth="1"/>
    <col min="4101" max="4101" width="13.42578125" style="1" bestFit="1" customWidth="1"/>
    <col min="4102" max="4102" width="12.28515625" style="1" bestFit="1" customWidth="1"/>
    <col min="4103" max="4103" width="9.7109375" style="1" bestFit="1" customWidth="1"/>
    <col min="4104" max="4352" width="9.140625" style="1"/>
    <col min="4353" max="4353" width="24.42578125" style="1" customWidth="1"/>
    <col min="4354" max="4354" width="65.7109375" style="1" customWidth="1"/>
    <col min="4355" max="4355" width="13.42578125" style="1" customWidth="1"/>
    <col min="4356" max="4356" width="12.85546875" style="1" bestFit="1" customWidth="1"/>
    <col min="4357" max="4357" width="13.42578125" style="1" bestFit="1" customWidth="1"/>
    <col min="4358" max="4358" width="12.28515625" style="1" bestFit="1" customWidth="1"/>
    <col min="4359" max="4359" width="9.7109375" style="1" bestFit="1" customWidth="1"/>
    <col min="4360" max="4608" width="9.140625" style="1"/>
    <col min="4609" max="4609" width="24.42578125" style="1" customWidth="1"/>
    <col min="4610" max="4610" width="65.7109375" style="1" customWidth="1"/>
    <col min="4611" max="4611" width="13.42578125" style="1" customWidth="1"/>
    <col min="4612" max="4612" width="12.85546875" style="1" bestFit="1" customWidth="1"/>
    <col min="4613" max="4613" width="13.42578125" style="1" bestFit="1" customWidth="1"/>
    <col min="4614" max="4614" width="12.28515625" style="1" bestFit="1" customWidth="1"/>
    <col min="4615" max="4615" width="9.7109375" style="1" bestFit="1" customWidth="1"/>
    <col min="4616" max="4864" width="9.140625" style="1"/>
    <col min="4865" max="4865" width="24.42578125" style="1" customWidth="1"/>
    <col min="4866" max="4866" width="65.7109375" style="1" customWidth="1"/>
    <col min="4867" max="4867" width="13.42578125" style="1" customWidth="1"/>
    <col min="4868" max="4868" width="12.85546875" style="1" bestFit="1" customWidth="1"/>
    <col min="4869" max="4869" width="13.42578125" style="1" bestFit="1" customWidth="1"/>
    <col min="4870" max="4870" width="12.28515625" style="1" bestFit="1" customWidth="1"/>
    <col min="4871" max="4871" width="9.7109375" style="1" bestFit="1" customWidth="1"/>
    <col min="4872" max="5120" width="9.140625" style="1"/>
    <col min="5121" max="5121" width="24.42578125" style="1" customWidth="1"/>
    <col min="5122" max="5122" width="65.7109375" style="1" customWidth="1"/>
    <col min="5123" max="5123" width="13.42578125" style="1" customWidth="1"/>
    <col min="5124" max="5124" width="12.85546875" style="1" bestFit="1" customWidth="1"/>
    <col min="5125" max="5125" width="13.42578125" style="1" bestFit="1" customWidth="1"/>
    <col min="5126" max="5126" width="12.28515625" style="1" bestFit="1" customWidth="1"/>
    <col min="5127" max="5127" width="9.7109375" style="1" bestFit="1" customWidth="1"/>
    <col min="5128" max="5376" width="9.140625" style="1"/>
    <col min="5377" max="5377" width="24.42578125" style="1" customWidth="1"/>
    <col min="5378" max="5378" width="65.7109375" style="1" customWidth="1"/>
    <col min="5379" max="5379" width="13.42578125" style="1" customWidth="1"/>
    <col min="5380" max="5380" width="12.85546875" style="1" bestFit="1" customWidth="1"/>
    <col min="5381" max="5381" width="13.42578125" style="1" bestFit="1" customWidth="1"/>
    <col min="5382" max="5382" width="12.28515625" style="1" bestFit="1" customWidth="1"/>
    <col min="5383" max="5383" width="9.7109375" style="1" bestFit="1" customWidth="1"/>
    <col min="5384" max="5632" width="9.140625" style="1"/>
    <col min="5633" max="5633" width="24.42578125" style="1" customWidth="1"/>
    <col min="5634" max="5634" width="65.7109375" style="1" customWidth="1"/>
    <col min="5635" max="5635" width="13.42578125" style="1" customWidth="1"/>
    <col min="5636" max="5636" width="12.85546875" style="1" bestFit="1" customWidth="1"/>
    <col min="5637" max="5637" width="13.42578125" style="1" bestFit="1" customWidth="1"/>
    <col min="5638" max="5638" width="12.28515625" style="1" bestFit="1" customWidth="1"/>
    <col min="5639" max="5639" width="9.7109375" style="1" bestFit="1" customWidth="1"/>
    <col min="5640" max="5888" width="9.140625" style="1"/>
    <col min="5889" max="5889" width="24.42578125" style="1" customWidth="1"/>
    <col min="5890" max="5890" width="65.7109375" style="1" customWidth="1"/>
    <col min="5891" max="5891" width="13.42578125" style="1" customWidth="1"/>
    <col min="5892" max="5892" width="12.85546875" style="1" bestFit="1" customWidth="1"/>
    <col min="5893" max="5893" width="13.42578125" style="1" bestFit="1" customWidth="1"/>
    <col min="5894" max="5894" width="12.28515625" style="1" bestFit="1" customWidth="1"/>
    <col min="5895" max="5895" width="9.7109375" style="1" bestFit="1" customWidth="1"/>
    <col min="5896" max="6144" width="9.140625" style="1"/>
    <col min="6145" max="6145" width="24.42578125" style="1" customWidth="1"/>
    <col min="6146" max="6146" width="65.7109375" style="1" customWidth="1"/>
    <col min="6147" max="6147" width="13.42578125" style="1" customWidth="1"/>
    <col min="6148" max="6148" width="12.85546875" style="1" bestFit="1" customWidth="1"/>
    <col min="6149" max="6149" width="13.42578125" style="1" bestFit="1" customWidth="1"/>
    <col min="6150" max="6150" width="12.28515625" style="1" bestFit="1" customWidth="1"/>
    <col min="6151" max="6151" width="9.7109375" style="1" bestFit="1" customWidth="1"/>
    <col min="6152" max="6400" width="9.140625" style="1"/>
    <col min="6401" max="6401" width="24.42578125" style="1" customWidth="1"/>
    <col min="6402" max="6402" width="65.7109375" style="1" customWidth="1"/>
    <col min="6403" max="6403" width="13.42578125" style="1" customWidth="1"/>
    <col min="6404" max="6404" width="12.85546875" style="1" bestFit="1" customWidth="1"/>
    <col min="6405" max="6405" width="13.42578125" style="1" bestFit="1" customWidth="1"/>
    <col min="6406" max="6406" width="12.28515625" style="1" bestFit="1" customWidth="1"/>
    <col min="6407" max="6407" width="9.7109375" style="1" bestFit="1" customWidth="1"/>
    <col min="6408" max="6656" width="9.140625" style="1"/>
    <col min="6657" max="6657" width="24.42578125" style="1" customWidth="1"/>
    <col min="6658" max="6658" width="65.7109375" style="1" customWidth="1"/>
    <col min="6659" max="6659" width="13.42578125" style="1" customWidth="1"/>
    <col min="6660" max="6660" width="12.85546875" style="1" bestFit="1" customWidth="1"/>
    <col min="6661" max="6661" width="13.42578125" style="1" bestFit="1" customWidth="1"/>
    <col min="6662" max="6662" width="12.28515625" style="1" bestFit="1" customWidth="1"/>
    <col min="6663" max="6663" width="9.7109375" style="1" bestFit="1" customWidth="1"/>
    <col min="6664" max="6912" width="9.140625" style="1"/>
    <col min="6913" max="6913" width="24.42578125" style="1" customWidth="1"/>
    <col min="6914" max="6914" width="65.7109375" style="1" customWidth="1"/>
    <col min="6915" max="6915" width="13.42578125" style="1" customWidth="1"/>
    <col min="6916" max="6916" width="12.85546875" style="1" bestFit="1" customWidth="1"/>
    <col min="6917" max="6917" width="13.42578125" style="1" bestFit="1" customWidth="1"/>
    <col min="6918" max="6918" width="12.28515625" style="1" bestFit="1" customWidth="1"/>
    <col min="6919" max="6919" width="9.7109375" style="1" bestFit="1" customWidth="1"/>
    <col min="6920" max="7168" width="9.140625" style="1"/>
    <col min="7169" max="7169" width="24.42578125" style="1" customWidth="1"/>
    <col min="7170" max="7170" width="65.7109375" style="1" customWidth="1"/>
    <col min="7171" max="7171" width="13.42578125" style="1" customWidth="1"/>
    <col min="7172" max="7172" width="12.85546875" style="1" bestFit="1" customWidth="1"/>
    <col min="7173" max="7173" width="13.42578125" style="1" bestFit="1" customWidth="1"/>
    <col min="7174" max="7174" width="12.28515625" style="1" bestFit="1" customWidth="1"/>
    <col min="7175" max="7175" width="9.7109375" style="1" bestFit="1" customWidth="1"/>
    <col min="7176" max="7424" width="9.140625" style="1"/>
    <col min="7425" max="7425" width="24.42578125" style="1" customWidth="1"/>
    <col min="7426" max="7426" width="65.7109375" style="1" customWidth="1"/>
    <col min="7427" max="7427" width="13.42578125" style="1" customWidth="1"/>
    <col min="7428" max="7428" width="12.85546875" style="1" bestFit="1" customWidth="1"/>
    <col min="7429" max="7429" width="13.42578125" style="1" bestFit="1" customWidth="1"/>
    <col min="7430" max="7430" width="12.28515625" style="1" bestFit="1" customWidth="1"/>
    <col min="7431" max="7431" width="9.7109375" style="1" bestFit="1" customWidth="1"/>
    <col min="7432" max="7680" width="9.140625" style="1"/>
    <col min="7681" max="7681" width="24.42578125" style="1" customWidth="1"/>
    <col min="7682" max="7682" width="65.7109375" style="1" customWidth="1"/>
    <col min="7683" max="7683" width="13.42578125" style="1" customWidth="1"/>
    <col min="7684" max="7684" width="12.85546875" style="1" bestFit="1" customWidth="1"/>
    <col min="7685" max="7685" width="13.42578125" style="1" bestFit="1" customWidth="1"/>
    <col min="7686" max="7686" width="12.28515625" style="1" bestFit="1" customWidth="1"/>
    <col min="7687" max="7687" width="9.7109375" style="1" bestFit="1" customWidth="1"/>
    <col min="7688" max="7936" width="9.140625" style="1"/>
    <col min="7937" max="7937" width="24.42578125" style="1" customWidth="1"/>
    <col min="7938" max="7938" width="65.7109375" style="1" customWidth="1"/>
    <col min="7939" max="7939" width="13.42578125" style="1" customWidth="1"/>
    <col min="7940" max="7940" width="12.85546875" style="1" bestFit="1" customWidth="1"/>
    <col min="7941" max="7941" width="13.42578125" style="1" bestFit="1" customWidth="1"/>
    <col min="7942" max="7942" width="12.28515625" style="1" bestFit="1" customWidth="1"/>
    <col min="7943" max="7943" width="9.7109375" style="1" bestFit="1" customWidth="1"/>
    <col min="7944" max="8192" width="9.140625" style="1"/>
    <col min="8193" max="8193" width="24.42578125" style="1" customWidth="1"/>
    <col min="8194" max="8194" width="65.7109375" style="1" customWidth="1"/>
    <col min="8195" max="8195" width="13.42578125" style="1" customWidth="1"/>
    <col min="8196" max="8196" width="12.85546875" style="1" bestFit="1" customWidth="1"/>
    <col min="8197" max="8197" width="13.42578125" style="1" bestFit="1" customWidth="1"/>
    <col min="8198" max="8198" width="12.28515625" style="1" bestFit="1" customWidth="1"/>
    <col min="8199" max="8199" width="9.7109375" style="1" bestFit="1" customWidth="1"/>
    <col min="8200" max="8448" width="9.140625" style="1"/>
    <col min="8449" max="8449" width="24.42578125" style="1" customWidth="1"/>
    <col min="8450" max="8450" width="65.7109375" style="1" customWidth="1"/>
    <col min="8451" max="8451" width="13.42578125" style="1" customWidth="1"/>
    <col min="8452" max="8452" width="12.85546875" style="1" bestFit="1" customWidth="1"/>
    <col min="8453" max="8453" width="13.42578125" style="1" bestFit="1" customWidth="1"/>
    <col min="8454" max="8454" width="12.28515625" style="1" bestFit="1" customWidth="1"/>
    <col min="8455" max="8455" width="9.7109375" style="1" bestFit="1" customWidth="1"/>
    <col min="8456" max="8704" width="9.140625" style="1"/>
    <col min="8705" max="8705" width="24.42578125" style="1" customWidth="1"/>
    <col min="8706" max="8706" width="65.7109375" style="1" customWidth="1"/>
    <col min="8707" max="8707" width="13.42578125" style="1" customWidth="1"/>
    <col min="8708" max="8708" width="12.85546875" style="1" bestFit="1" customWidth="1"/>
    <col min="8709" max="8709" width="13.42578125" style="1" bestFit="1" customWidth="1"/>
    <col min="8710" max="8710" width="12.28515625" style="1" bestFit="1" customWidth="1"/>
    <col min="8711" max="8711" width="9.7109375" style="1" bestFit="1" customWidth="1"/>
    <col min="8712" max="8960" width="9.140625" style="1"/>
    <col min="8961" max="8961" width="24.42578125" style="1" customWidth="1"/>
    <col min="8962" max="8962" width="65.7109375" style="1" customWidth="1"/>
    <col min="8963" max="8963" width="13.42578125" style="1" customWidth="1"/>
    <col min="8964" max="8964" width="12.85546875" style="1" bestFit="1" customWidth="1"/>
    <col min="8965" max="8965" width="13.42578125" style="1" bestFit="1" customWidth="1"/>
    <col min="8966" max="8966" width="12.28515625" style="1" bestFit="1" customWidth="1"/>
    <col min="8967" max="8967" width="9.7109375" style="1" bestFit="1" customWidth="1"/>
    <col min="8968" max="9216" width="9.140625" style="1"/>
    <col min="9217" max="9217" width="24.42578125" style="1" customWidth="1"/>
    <col min="9218" max="9218" width="65.7109375" style="1" customWidth="1"/>
    <col min="9219" max="9219" width="13.42578125" style="1" customWidth="1"/>
    <col min="9220" max="9220" width="12.85546875" style="1" bestFit="1" customWidth="1"/>
    <col min="9221" max="9221" width="13.42578125" style="1" bestFit="1" customWidth="1"/>
    <col min="9222" max="9222" width="12.28515625" style="1" bestFit="1" customWidth="1"/>
    <col min="9223" max="9223" width="9.7109375" style="1" bestFit="1" customWidth="1"/>
    <col min="9224" max="9472" width="9.140625" style="1"/>
    <col min="9473" max="9473" width="24.42578125" style="1" customWidth="1"/>
    <col min="9474" max="9474" width="65.7109375" style="1" customWidth="1"/>
    <col min="9475" max="9475" width="13.42578125" style="1" customWidth="1"/>
    <col min="9476" max="9476" width="12.85546875" style="1" bestFit="1" customWidth="1"/>
    <col min="9477" max="9477" width="13.42578125" style="1" bestFit="1" customWidth="1"/>
    <col min="9478" max="9478" width="12.28515625" style="1" bestFit="1" customWidth="1"/>
    <col min="9479" max="9479" width="9.7109375" style="1" bestFit="1" customWidth="1"/>
    <col min="9480" max="9728" width="9.140625" style="1"/>
    <col min="9729" max="9729" width="24.42578125" style="1" customWidth="1"/>
    <col min="9730" max="9730" width="65.7109375" style="1" customWidth="1"/>
    <col min="9731" max="9731" width="13.42578125" style="1" customWidth="1"/>
    <col min="9732" max="9732" width="12.85546875" style="1" bestFit="1" customWidth="1"/>
    <col min="9733" max="9733" width="13.42578125" style="1" bestFit="1" customWidth="1"/>
    <col min="9734" max="9734" width="12.28515625" style="1" bestFit="1" customWidth="1"/>
    <col min="9735" max="9735" width="9.7109375" style="1" bestFit="1" customWidth="1"/>
    <col min="9736" max="9984" width="9.140625" style="1"/>
    <col min="9985" max="9985" width="24.42578125" style="1" customWidth="1"/>
    <col min="9986" max="9986" width="65.7109375" style="1" customWidth="1"/>
    <col min="9987" max="9987" width="13.42578125" style="1" customWidth="1"/>
    <col min="9988" max="9988" width="12.85546875" style="1" bestFit="1" customWidth="1"/>
    <col min="9989" max="9989" width="13.42578125" style="1" bestFit="1" customWidth="1"/>
    <col min="9990" max="9990" width="12.28515625" style="1" bestFit="1" customWidth="1"/>
    <col min="9991" max="9991" width="9.7109375" style="1" bestFit="1" customWidth="1"/>
    <col min="9992" max="10240" width="9.140625" style="1"/>
    <col min="10241" max="10241" width="24.42578125" style="1" customWidth="1"/>
    <col min="10242" max="10242" width="65.7109375" style="1" customWidth="1"/>
    <col min="10243" max="10243" width="13.42578125" style="1" customWidth="1"/>
    <col min="10244" max="10244" width="12.85546875" style="1" bestFit="1" customWidth="1"/>
    <col min="10245" max="10245" width="13.42578125" style="1" bestFit="1" customWidth="1"/>
    <col min="10246" max="10246" width="12.28515625" style="1" bestFit="1" customWidth="1"/>
    <col min="10247" max="10247" width="9.7109375" style="1" bestFit="1" customWidth="1"/>
    <col min="10248" max="10496" width="9.140625" style="1"/>
    <col min="10497" max="10497" width="24.42578125" style="1" customWidth="1"/>
    <col min="10498" max="10498" width="65.7109375" style="1" customWidth="1"/>
    <col min="10499" max="10499" width="13.42578125" style="1" customWidth="1"/>
    <col min="10500" max="10500" width="12.85546875" style="1" bestFit="1" customWidth="1"/>
    <col min="10501" max="10501" width="13.42578125" style="1" bestFit="1" customWidth="1"/>
    <col min="10502" max="10502" width="12.28515625" style="1" bestFit="1" customWidth="1"/>
    <col min="10503" max="10503" width="9.7109375" style="1" bestFit="1" customWidth="1"/>
    <col min="10504" max="10752" width="9.140625" style="1"/>
    <col min="10753" max="10753" width="24.42578125" style="1" customWidth="1"/>
    <col min="10754" max="10754" width="65.7109375" style="1" customWidth="1"/>
    <col min="10755" max="10755" width="13.42578125" style="1" customWidth="1"/>
    <col min="10756" max="10756" width="12.85546875" style="1" bestFit="1" customWidth="1"/>
    <col min="10757" max="10757" width="13.42578125" style="1" bestFit="1" customWidth="1"/>
    <col min="10758" max="10758" width="12.28515625" style="1" bestFit="1" customWidth="1"/>
    <col min="10759" max="10759" width="9.7109375" style="1" bestFit="1" customWidth="1"/>
    <col min="10760" max="11008" width="9.140625" style="1"/>
    <col min="11009" max="11009" width="24.42578125" style="1" customWidth="1"/>
    <col min="11010" max="11010" width="65.7109375" style="1" customWidth="1"/>
    <col min="11011" max="11011" width="13.42578125" style="1" customWidth="1"/>
    <col min="11012" max="11012" width="12.85546875" style="1" bestFit="1" customWidth="1"/>
    <col min="11013" max="11013" width="13.42578125" style="1" bestFit="1" customWidth="1"/>
    <col min="11014" max="11014" width="12.28515625" style="1" bestFit="1" customWidth="1"/>
    <col min="11015" max="11015" width="9.7109375" style="1" bestFit="1" customWidth="1"/>
    <col min="11016" max="11264" width="9.140625" style="1"/>
    <col min="11265" max="11265" width="24.42578125" style="1" customWidth="1"/>
    <col min="11266" max="11266" width="65.7109375" style="1" customWidth="1"/>
    <col min="11267" max="11267" width="13.42578125" style="1" customWidth="1"/>
    <col min="11268" max="11268" width="12.85546875" style="1" bestFit="1" customWidth="1"/>
    <col min="11269" max="11269" width="13.42578125" style="1" bestFit="1" customWidth="1"/>
    <col min="11270" max="11270" width="12.28515625" style="1" bestFit="1" customWidth="1"/>
    <col min="11271" max="11271" width="9.7109375" style="1" bestFit="1" customWidth="1"/>
    <col min="11272" max="11520" width="9.140625" style="1"/>
    <col min="11521" max="11521" width="24.42578125" style="1" customWidth="1"/>
    <col min="11522" max="11522" width="65.7109375" style="1" customWidth="1"/>
    <col min="11523" max="11523" width="13.42578125" style="1" customWidth="1"/>
    <col min="11524" max="11524" width="12.85546875" style="1" bestFit="1" customWidth="1"/>
    <col min="11525" max="11525" width="13.42578125" style="1" bestFit="1" customWidth="1"/>
    <col min="11526" max="11526" width="12.28515625" style="1" bestFit="1" customWidth="1"/>
    <col min="11527" max="11527" width="9.7109375" style="1" bestFit="1" customWidth="1"/>
    <col min="11528" max="11776" width="9.140625" style="1"/>
    <col min="11777" max="11777" width="24.42578125" style="1" customWidth="1"/>
    <col min="11778" max="11778" width="65.7109375" style="1" customWidth="1"/>
    <col min="11779" max="11779" width="13.42578125" style="1" customWidth="1"/>
    <col min="11780" max="11780" width="12.85546875" style="1" bestFit="1" customWidth="1"/>
    <col min="11781" max="11781" width="13.42578125" style="1" bestFit="1" customWidth="1"/>
    <col min="11782" max="11782" width="12.28515625" style="1" bestFit="1" customWidth="1"/>
    <col min="11783" max="11783" width="9.7109375" style="1" bestFit="1" customWidth="1"/>
    <col min="11784" max="12032" width="9.140625" style="1"/>
    <col min="12033" max="12033" width="24.42578125" style="1" customWidth="1"/>
    <col min="12034" max="12034" width="65.7109375" style="1" customWidth="1"/>
    <col min="12035" max="12035" width="13.42578125" style="1" customWidth="1"/>
    <col min="12036" max="12036" width="12.85546875" style="1" bestFit="1" customWidth="1"/>
    <col min="12037" max="12037" width="13.42578125" style="1" bestFit="1" customWidth="1"/>
    <col min="12038" max="12038" width="12.28515625" style="1" bestFit="1" customWidth="1"/>
    <col min="12039" max="12039" width="9.7109375" style="1" bestFit="1" customWidth="1"/>
    <col min="12040" max="12288" width="9.140625" style="1"/>
    <col min="12289" max="12289" width="24.42578125" style="1" customWidth="1"/>
    <col min="12290" max="12290" width="65.7109375" style="1" customWidth="1"/>
    <col min="12291" max="12291" width="13.42578125" style="1" customWidth="1"/>
    <col min="12292" max="12292" width="12.85546875" style="1" bestFit="1" customWidth="1"/>
    <col min="12293" max="12293" width="13.42578125" style="1" bestFit="1" customWidth="1"/>
    <col min="12294" max="12294" width="12.28515625" style="1" bestFit="1" customWidth="1"/>
    <col min="12295" max="12295" width="9.7109375" style="1" bestFit="1" customWidth="1"/>
    <col min="12296" max="12544" width="9.140625" style="1"/>
    <col min="12545" max="12545" width="24.42578125" style="1" customWidth="1"/>
    <col min="12546" max="12546" width="65.7109375" style="1" customWidth="1"/>
    <col min="12547" max="12547" width="13.42578125" style="1" customWidth="1"/>
    <col min="12548" max="12548" width="12.85546875" style="1" bestFit="1" customWidth="1"/>
    <col min="12549" max="12549" width="13.42578125" style="1" bestFit="1" customWidth="1"/>
    <col min="12550" max="12550" width="12.28515625" style="1" bestFit="1" customWidth="1"/>
    <col min="12551" max="12551" width="9.7109375" style="1" bestFit="1" customWidth="1"/>
    <col min="12552" max="12800" width="9.140625" style="1"/>
    <col min="12801" max="12801" width="24.42578125" style="1" customWidth="1"/>
    <col min="12802" max="12802" width="65.7109375" style="1" customWidth="1"/>
    <col min="12803" max="12803" width="13.42578125" style="1" customWidth="1"/>
    <col min="12804" max="12804" width="12.85546875" style="1" bestFit="1" customWidth="1"/>
    <col min="12805" max="12805" width="13.42578125" style="1" bestFit="1" customWidth="1"/>
    <col min="12806" max="12806" width="12.28515625" style="1" bestFit="1" customWidth="1"/>
    <col min="12807" max="12807" width="9.7109375" style="1" bestFit="1" customWidth="1"/>
    <col min="12808" max="13056" width="9.140625" style="1"/>
    <col min="13057" max="13057" width="24.42578125" style="1" customWidth="1"/>
    <col min="13058" max="13058" width="65.7109375" style="1" customWidth="1"/>
    <col min="13059" max="13059" width="13.42578125" style="1" customWidth="1"/>
    <col min="13060" max="13060" width="12.85546875" style="1" bestFit="1" customWidth="1"/>
    <col min="13061" max="13061" width="13.42578125" style="1" bestFit="1" customWidth="1"/>
    <col min="13062" max="13062" width="12.28515625" style="1" bestFit="1" customWidth="1"/>
    <col min="13063" max="13063" width="9.7109375" style="1" bestFit="1" customWidth="1"/>
    <col min="13064" max="13312" width="9.140625" style="1"/>
    <col min="13313" max="13313" width="24.42578125" style="1" customWidth="1"/>
    <col min="13314" max="13314" width="65.7109375" style="1" customWidth="1"/>
    <col min="13315" max="13315" width="13.42578125" style="1" customWidth="1"/>
    <col min="13316" max="13316" width="12.85546875" style="1" bestFit="1" customWidth="1"/>
    <col min="13317" max="13317" width="13.42578125" style="1" bestFit="1" customWidth="1"/>
    <col min="13318" max="13318" width="12.28515625" style="1" bestFit="1" customWidth="1"/>
    <col min="13319" max="13319" width="9.7109375" style="1" bestFit="1" customWidth="1"/>
    <col min="13320" max="13568" width="9.140625" style="1"/>
    <col min="13569" max="13569" width="24.42578125" style="1" customWidth="1"/>
    <col min="13570" max="13570" width="65.7109375" style="1" customWidth="1"/>
    <col min="13571" max="13571" width="13.42578125" style="1" customWidth="1"/>
    <col min="13572" max="13572" width="12.85546875" style="1" bestFit="1" customWidth="1"/>
    <col min="13573" max="13573" width="13.42578125" style="1" bestFit="1" customWidth="1"/>
    <col min="13574" max="13574" width="12.28515625" style="1" bestFit="1" customWidth="1"/>
    <col min="13575" max="13575" width="9.7109375" style="1" bestFit="1" customWidth="1"/>
    <col min="13576" max="13824" width="9.140625" style="1"/>
    <col min="13825" max="13825" width="24.42578125" style="1" customWidth="1"/>
    <col min="13826" max="13826" width="65.7109375" style="1" customWidth="1"/>
    <col min="13827" max="13827" width="13.42578125" style="1" customWidth="1"/>
    <col min="13828" max="13828" width="12.85546875" style="1" bestFit="1" customWidth="1"/>
    <col min="13829" max="13829" width="13.42578125" style="1" bestFit="1" customWidth="1"/>
    <col min="13830" max="13830" width="12.28515625" style="1" bestFit="1" customWidth="1"/>
    <col min="13831" max="13831" width="9.7109375" style="1" bestFit="1" customWidth="1"/>
    <col min="13832" max="14080" width="9.140625" style="1"/>
    <col min="14081" max="14081" width="24.42578125" style="1" customWidth="1"/>
    <col min="14082" max="14082" width="65.7109375" style="1" customWidth="1"/>
    <col min="14083" max="14083" width="13.42578125" style="1" customWidth="1"/>
    <col min="14084" max="14084" width="12.85546875" style="1" bestFit="1" customWidth="1"/>
    <col min="14085" max="14085" width="13.42578125" style="1" bestFit="1" customWidth="1"/>
    <col min="14086" max="14086" width="12.28515625" style="1" bestFit="1" customWidth="1"/>
    <col min="14087" max="14087" width="9.7109375" style="1" bestFit="1" customWidth="1"/>
    <col min="14088" max="14336" width="9.140625" style="1"/>
    <col min="14337" max="14337" width="24.42578125" style="1" customWidth="1"/>
    <col min="14338" max="14338" width="65.7109375" style="1" customWidth="1"/>
    <col min="14339" max="14339" width="13.42578125" style="1" customWidth="1"/>
    <col min="14340" max="14340" width="12.85546875" style="1" bestFit="1" customWidth="1"/>
    <col min="14341" max="14341" width="13.42578125" style="1" bestFit="1" customWidth="1"/>
    <col min="14342" max="14342" width="12.28515625" style="1" bestFit="1" customWidth="1"/>
    <col min="14343" max="14343" width="9.7109375" style="1" bestFit="1" customWidth="1"/>
    <col min="14344" max="14592" width="9.140625" style="1"/>
    <col min="14593" max="14593" width="24.42578125" style="1" customWidth="1"/>
    <col min="14594" max="14594" width="65.7109375" style="1" customWidth="1"/>
    <col min="14595" max="14595" width="13.42578125" style="1" customWidth="1"/>
    <col min="14596" max="14596" width="12.85546875" style="1" bestFit="1" customWidth="1"/>
    <col min="14597" max="14597" width="13.42578125" style="1" bestFit="1" customWidth="1"/>
    <col min="14598" max="14598" width="12.28515625" style="1" bestFit="1" customWidth="1"/>
    <col min="14599" max="14599" width="9.7109375" style="1" bestFit="1" customWidth="1"/>
    <col min="14600" max="14848" width="9.140625" style="1"/>
    <col min="14849" max="14849" width="24.42578125" style="1" customWidth="1"/>
    <col min="14850" max="14850" width="65.7109375" style="1" customWidth="1"/>
    <col min="14851" max="14851" width="13.42578125" style="1" customWidth="1"/>
    <col min="14852" max="14852" width="12.85546875" style="1" bestFit="1" customWidth="1"/>
    <col min="14853" max="14853" width="13.42578125" style="1" bestFit="1" customWidth="1"/>
    <col min="14854" max="14854" width="12.28515625" style="1" bestFit="1" customWidth="1"/>
    <col min="14855" max="14855" width="9.7109375" style="1" bestFit="1" customWidth="1"/>
    <col min="14856" max="15104" width="9.140625" style="1"/>
    <col min="15105" max="15105" width="24.42578125" style="1" customWidth="1"/>
    <col min="15106" max="15106" width="65.7109375" style="1" customWidth="1"/>
    <col min="15107" max="15107" width="13.42578125" style="1" customWidth="1"/>
    <col min="15108" max="15108" width="12.85546875" style="1" bestFit="1" customWidth="1"/>
    <col min="15109" max="15109" width="13.42578125" style="1" bestFit="1" customWidth="1"/>
    <col min="15110" max="15110" width="12.28515625" style="1" bestFit="1" customWidth="1"/>
    <col min="15111" max="15111" width="9.7109375" style="1" bestFit="1" customWidth="1"/>
    <col min="15112" max="15360" width="9.140625" style="1"/>
    <col min="15361" max="15361" width="24.42578125" style="1" customWidth="1"/>
    <col min="15362" max="15362" width="65.7109375" style="1" customWidth="1"/>
    <col min="15363" max="15363" width="13.42578125" style="1" customWidth="1"/>
    <col min="15364" max="15364" width="12.85546875" style="1" bestFit="1" customWidth="1"/>
    <col min="15365" max="15365" width="13.42578125" style="1" bestFit="1" customWidth="1"/>
    <col min="15366" max="15366" width="12.28515625" style="1" bestFit="1" customWidth="1"/>
    <col min="15367" max="15367" width="9.7109375" style="1" bestFit="1" customWidth="1"/>
    <col min="15368" max="15616" width="9.140625" style="1"/>
    <col min="15617" max="15617" width="24.42578125" style="1" customWidth="1"/>
    <col min="15618" max="15618" width="65.7109375" style="1" customWidth="1"/>
    <col min="15619" max="15619" width="13.42578125" style="1" customWidth="1"/>
    <col min="15620" max="15620" width="12.85546875" style="1" bestFit="1" customWidth="1"/>
    <col min="15621" max="15621" width="13.42578125" style="1" bestFit="1" customWidth="1"/>
    <col min="15622" max="15622" width="12.28515625" style="1" bestFit="1" customWidth="1"/>
    <col min="15623" max="15623" width="9.7109375" style="1" bestFit="1" customWidth="1"/>
    <col min="15624" max="15872" width="9.140625" style="1"/>
    <col min="15873" max="15873" width="24.42578125" style="1" customWidth="1"/>
    <col min="15874" max="15874" width="65.7109375" style="1" customWidth="1"/>
    <col min="15875" max="15875" width="13.42578125" style="1" customWidth="1"/>
    <col min="15876" max="15876" width="12.85546875" style="1" bestFit="1" customWidth="1"/>
    <col min="15877" max="15877" width="13.42578125" style="1" bestFit="1" customWidth="1"/>
    <col min="15878" max="15878" width="12.28515625" style="1" bestFit="1" customWidth="1"/>
    <col min="15879" max="15879" width="9.7109375" style="1" bestFit="1" customWidth="1"/>
    <col min="15880" max="16128" width="9.140625" style="1"/>
    <col min="16129" max="16129" width="24.42578125" style="1" customWidth="1"/>
    <col min="16130" max="16130" width="65.7109375" style="1" customWidth="1"/>
    <col min="16131" max="16131" width="13.42578125" style="1" customWidth="1"/>
    <col min="16132" max="16132" width="12.85546875" style="1" bestFit="1" customWidth="1"/>
    <col min="16133" max="16133" width="13.42578125" style="1" bestFit="1" customWidth="1"/>
    <col min="16134" max="16134" width="12.28515625" style="1" bestFit="1" customWidth="1"/>
    <col min="16135" max="16135" width="9.7109375" style="1" bestFit="1" customWidth="1"/>
    <col min="16136" max="16384" width="9.140625" style="1"/>
  </cols>
  <sheetData>
    <row r="1" spans="1:14" ht="15.75" x14ac:dyDescent="0.25">
      <c r="B1" s="180"/>
      <c r="C1" s="488" t="s">
        <v>163</v>
      </c>
      <c r="D1" s="488"/>
      <c r="E1" s="488"/>
    </row>
    <row r="2" spans="1:14" ht="12.75" customHeight="1" x14ac:dyDescent="0.25">
      <c r="B2" s="489" t="s">
        <v>127</v>
      </c>
      <c r="C2" s="489"/>
      <c r="D2" s="489"/>
      <c r="E2" s="489"/>
    </row>
    <row r="3" spans="1:14" ht="12.75" customHeight="1" x14ac:dyDescent="0.25">
      <c r="B3" s="489" t="s">
        <v>167</v>
      </c>
      <c r="C3" s="489"/>
      <c r="D3" s="489"/>
      <c r="E3" s="489"/>
    </row>
    <row r="4" spans="1:14" ht="12.75" customHeight="1" x14ac:dyDescent="0.25">
      <c r="B4" s="489" t="s">
        <v>168</v>
      </c>
      <c r="C4" s="489"/>
      <c r="D4" s="489"/>
      <c r="E4" s="489"/>
    </row>
    <row r="5" spans="1:14" ht="12.75" customHeight="1" x14ac:dyDescent="0.25">
      <c r="B5" s="489" t="s">
        <v>533</v>
      </c>
      <c r="C5" s="489"/>
      <c r="D5" s="489"/>
      <c r="E5" s="489"/>
    </row>
    <row r="7" spans="1:14" ht="33" customHeight="1" x14ac:dyDescent="0.2">
      <c r="A7" s="487" t="s">
        <v>606</v>
      </c>
      <c r="B7" s="487"/>
      <c r="C7" s="487"/>
      <c r="D7" s="487"/>
      <c r="E7" s="487"/>
    </row>
    <row r="8" spans="1:14" ht="15.75" x14ac:dyDescent="0.25">
      <c r="A8" s="3"/>
      <c r="B8" s="3"/>
      <c r="C8" s="3"/>
    </row>
    <row r="9" spans="1:14" ht="15" x14ac:dyDescent="0.25">
      <c r="E9" s="4" t="s">
        <v>114</v>
      </c>
    </row>
    <row r="10" spans="1:14" ht="25.5" x14ac:dyDescent="0.2">
      <c r="A10" s="5" t="s">
        <v>115</v>
      </c>
      <c r="B10" s="5" t="s">
        <v>0</v>
      </c>
      <c r="C10" s="5" t="s">
        <v>164</v>
      </c>
      <c r="D10" s="94" t="s">
        <v>594</v>
      </c>
      <c r="E10" s="94" t="s">
        <v>593</v>
      </c>
    </row>
    <row r="11" spans="1:14" ht="31.5" x14ac:dyDescent="0.2">
      <c r="A11" s="181" t="s">
        <v>116</v>
      </c>
      <c r="B11" s="182" t="s">
        <v>117</v>
      </c>
      <c r="C11" s="183">
        <f>C12+C13</f>
        <v>0</v>
      </c>
      <c r="D11" s="184"/>
      <c r="E11" s="184"/>
      <c r="F11" s="6"/>
      <c r="G11" s="6"/>
      <c r="H11" s="6"/>
      <c r="I11" s="6"/>
      <c r="J11" s="6"/>
      <c r="K11" s="6"/>
      <c r="L11" s="6"/>
      <c r="M11" s="6"/>
      <c r="N11" s="6"/>
    </row>
    <row r="12" spans="1:14" ht="31.5" x14ac:dyDescent="0.2">
      <c r="A12" s="185" t="s">
        <v>118</v>
      </c>
      <c r="B12" s="28" t="s">
        <v>119</v>
      </c>
      <c r="C12" s="186"/>
      <c r="D12" s="187"/>
      <c r="E12" s="187"/>
      <c r="G12" s="6"/>
      <c r="H12" s="6"/>
      <c r="I12" s="6"/>
      <c r="J12" s="6"/>
      <c r="K12" s="6"/>
      <c r="L12" s="6"/>
      <c r="M12" s="6"/>
      <c r="N12" s="6"/>
    </row>
    <row r="13" spans="1:14" ht="31.5" x14ac:dyDescent="0.2">
      <c r="A13" s="185" t="s">
        <v>169</v>
      </c>
      <c r="B13" s="28" t="s">
        <v>170</v>
      </c>
      <c r="C13" s="186"/>
      <c r="D13" s="184"/>
      <c r="E13" s="184"/>
      <c r="F13" s="6"/>
      <c r="G13" s="6"/>
      <c r="H13" s="6"/>
      <c r="I13" s="6"/>
      <c r="J13" s="6"/>
      <c r="K13" s="6"/>
      <c r="L13" s="6"/>
      <c r="M13" s="6"/>
      <c r="N13" s="6"/>
    </row>
    <row r="14" spans="1:14" ht="31.5" x14ac:dyDescent="0.2">
      <c r="A14" s="181" t="s">
        <v>120</v>
      </c>
      <c r="B14" s="182" t="s">
        <v>121</v>
      </c>
      <c r="C14" s="188">
        <f>C16+C17+C18+C15</f>
        <v>0</v>
      </c>
      <c r="D14" s="184"/>
      <c r="E14" s="184"/>
      <c r="F14" s="6"/>
      <c r="G14" s="6"/>
      <c r="H14" s="6"/>
      <c r="I14" s="6"/>
      <c r="J14" s="6"/>
      <c r="K14" s="6"/>
      <c r="L14" s="6"/>
      <c r="M14" s="6"/>
      <c r="N14" s="6"/>
    </row>
    <row r="15" spans="1:14" ht="47.25" x14ac:dyDescent="0.2">
      <c r="A15" s="185" t="s">
        <v>171</v>
      </c>
      <c r="B15" s="28" t="s">
        <v>172</v>
      </c>
      <c r="C15" s="186"/>
      <c r="D15" s="189"/>
      <c r="E15" s="184"/>
      <c r="F15" s="6"/>
      <c r="G15" s="6"/>
      <c r="H15" s="6"/>
      <c r="I15" s="6"/>
      <c r="J15" s="6"/>
      <c r="K15" s="6"/>
      <c r="L15" s="6"/>
      <c r="M15" s="6"/>
      <c r="N15" s="6"/>
    </row>
    <row r="16" spans="1:14" ht="63" x14ac:dyDescent="0.2">
      <c r="A16" s="190" t="s">
        <v>171</v>
      </c>
      <c r="B16" s="28" t="s">
        <v>173</v>
      </c>
      <c r="C16" s="186"/>
      <c r="D16" s="191"/>
      <c r="E16" s="192"/>
      <c r="F16" s="6"/>
      <c r="G16" s="6"/>
      <c r="H16" s="6"/>
      <c r="I16" s="6"/>
      <c r="J16" s="6"/>
      <c r="K16" s="6"/>
      <c r="L16" s="6"/>
      <c r="M16" s="6"/>
      <c r="N16" s="6"/>
    </row>
    <row r="17" spans="1:14" ht="47.25" x14ac:dyDescent="0.2">
      <c r="A17" s="185" t="s">
        <v>174</v>
      </c>
      <c r="B17" s="28" t="s">
        <v>122</v>
      </c>
      <c r="C17" s="186"/>
      <c r="D17" s="184"/>
      <c r="E17" s="184"/>
      <c r="F17" s="6"/>
      <c r="G17" s="6"/>
      <c r="H17" s="6"/>
      <c r="I17" s="6"/>
      <c r="J17" s="6"/>
      <c r="K17" s="6"/>
      <c r="L17" s="6"/>
      <c r="M17" s="6"/>
      <c r="N17" s="6"/>
    </row>
    <row r="18" spans="1:14" ht="63" x14ac:dyDescent="0.2">
      <c r="A18" s="190" t="s">
        <v>174</v>
      </c>
      <c r="B18" s="28" t="s">
        <v>175</v>
      </c>
      <c r="C18" s="186"/>
      <c r="D18" s="184"/>
      <c r="E18" s="184"/>
      <c r="F18" s="6"/>
      <c r="G18" s="6"/>
      <c r="H18" s="6"/>
      <c r="I18" s="6"/>
      <c r="J18" s="6"/>
      <c r="K18" s="6"/>
      <c r="L18" s="6"/>
      <c r="M18" s="6"/>
      <c r="N18" s="6"/>
    </row>
    <row r="19" spans="1:14" s="9" customFormat="1" ht="31.5" x14ac:dyDescent="0.2">
      <c r="A19" s="193" t="s">
        <v>123</v>
      </c>
      <c r="B19" s="194" t="s">
        <v>124</v>
      </c>
      <c r="C19" s="188">
        <f>C20+C21</f>
        <v>0</v>
      </c>
      <c r="D19" s="188">
        <f>D20+D21</f>
        <v>5491.3833900000172</v>
      </c>
      <c r="E19" s="205" t="e">
        <f>D19/C19*100</f>
        <v>#DIV/0!</v>
      </c>
      <c r="F19" s="6"/>
      <c r="G19" s="6"/>
      <c r="H19" s="6"/>
      <c r="I19" s="6"/>
      <c r="J19" s="6"/>
      <c r="K19" s="6"/>
      <c r="L19" s="6"/>
      <c r="M19" s="6"/>
      <c r="N19" s="6"/>
    </row>
    <row r="20" spans="1:14" s="9" customFormat="1" ht="31.5" x14ac:dyDescent="0.2">
      <c r="A20" s="190" t="s">
        <v>604</v>
      </c>
      <c r="B20" s="195" t="s">
        <v>605</v>
      </c>
      <c r="C20" s="188"/>
      <c r="D20" s="205">
        <f>+'5'!D94-'11'!AG657</f>
        <v>5491.3833900000172</v>
      </c>
      <c r="E20" s="205" t="e">
        <f t="shared" ref="E20:E21" si="0">D20/C20*100</f>
        <v>#DIV/0!</v>
      </c>
      <c r="F20" s="6"/>
      <c r="G20" s="6"/>
      <c r="H20" s="6"/>
      <c r="I20" s="6"/>
      <c r="J20" s="6"/>
      <c r="K20" s="6"/>
      <c r="L20" s="6"/>
      <c r="M20" s="6"/>
      <c r="N20" s="6"/>
    </row>
    <row r="21" spans="1:14" ht="31.5" x14ac:dyDescent="0.2">
      <c r="A21" s="190" t="s">
        <v>176</v>
      </c>
      <c r="B21" s="195" t="s">
        <v>177</v>
      </c>
      <c r="C21" s="196"/>
      <c r="D21" s="205"/>
      <c r="E21" s="205" t="e">
        <f t="shared" si="0"/>
        <v>#DIV/0!</v>
      </c>
      <c r="F21" s="6"/>
      <c r="G21" s="6"/>
      <c r="H21" s="6"/>
      <c r="I21" s="6"/>
      <c r="J21" s="6"/>
      <c r="K21" s="6"/>
      <c r="L21" s="6"/>
      <c r="M21" s="6"/>
      <c r="N21" s="6"/>
    </row>
    <row r="22" spans="1:14" ht="31.5" x14ac:dyDescent="0.2">
      <c r="A22" s="193" t="s">
        <v>125</v>
      </c>
      <c r="B22" s="197" t="s">
        <v>165</v>
      </c>
      <c r="C22" s="188">
        <f>C23+C24</f>
        <v>0</v>
      </c>
      <c r="D22" s="184"/>
      <c r="E22" s="184"/>
      <c r="F22" s="6"/>
      <c r="G22" s="6"/>
      <c r="H22" s="6"/>
      <c r="I22" s="6"/>
      <c r="J22" s="6"/>
      <c r="K22" s="6"/>
      <c r="L22" s="6"/>
      <c r="M22" s="6"/>
      <c r="N22" s="6"/>
    </row>
    <row r="23" spans="1:14" s="9" customFormat="1" ht="63" x14ac:dyDescent="0.2">
      <c r="A23" s="185" t="s">
        <v>178</v>
      </c>
      <c r="B23" s="198" t="s">
        <v>179</v>
      </c>
      <c r="C23" s="196"/>
      <c r="D23" s="187"/>
      <c r="E23" s="191"/>
      <c r="F23" s="7"/>
      <c r="H23" s="6"/>
      <c r="I23" s="6"/>
      <c r="J23" s="6"/>
      <c r="K23" s="6"/>
      <c r="L23" s="6"/>
      <c r="M23" s="6"/>
      <c r="N23" s="6"/>
    </row>
    <row r="24" spans="1:14" ht="47.25" x14ac:dyDescent="0.2">
      <c r="A24" s="185" t="s">
        <v>180</v>
      </c>
      <c r="B24" s="198" t="s">
        <v>181</v>
      </c>
      <c r="C24" s="186"/>
      <c r="D24" s="184"/>
      <c r="E24" s="184"/>
      <c r="F24" s="6"/>
      <c r="G24" s="6"/>
      <c r="H24" s="6"/>
      <c r="I24" s="6"/>
      <c r="J24" s="6"/>
      <c r="K24" s="6"/>
      <c r="L24" s="6"/>
      <c r="M24" s="6"/>
      <c r="N24" s="6"/>
    </row>
    <row r="25" spans="1:14" ht="15.75" x14ac:dyDescent="0.25">
      <c r="A25" s="199"/>
      <c r="B25" s="200"/>
      <c r="C25" s="201"/>
      <c r="D25" s="184"/>
      <c r="E25" s="184"/>
      <c r="F25" s="6"/>
      <c r="G25" s="6"/>
      <c r="H25" s="6"/>
      <c r="I25" s="6"/>
      <c r="J25" s="6"/>
      <c r="K25" s="6"/>
      <c r="L25" s="6"/>
      <c r="M25" s="6"/>
      <c r="N25" s="6"/>
    </row>
    <row r="26" spans="1:14" ht="15.75" x14ac:dyDescent="0.2">
      <c r="A26" s="202"/>
      <c r="B26" s="203" t="s">
        <v>126</v>
      </c>
      <c r="C26" s="204">
        <f>C14+C22+C11+C19</f>
        <v>0</v>
      </c>
      <c r="D26" s="184"/>
      <c r="E26" s="184"/>
      <c r="F26" s="6"/>
      <c r="G26" s="6"/>
      <c r="H26" s="6"/>
      <c r="I26" s="6"/>
      <c r="J26" s="6"/>
      <c r="K26" s="6"/>
      <c r="L26" s="6"/>
      <c r="M26" s="6"/>
      <c r="N26" s="6"/>
    </row>
    <row r="27" spans="1:14" x14ac:dyDescent="0.2">
      <c r="A27" s="10"/>
      <c r="B27" s="11"/>
      <c r="C27" s="6"/>
      <c r="D27" s="8"/>
      <c r="E27" s="6"/>
      <c r="F27" s="6"/>
      <c r="G27" s="6"/>
      <c r="H27" s="6"/>
      <c r="I27" s="6"/>
      <c r="J27" s="6"/>
      <c r="K27" s="6"/>
      <c r="L27" s="6"/>
      <c r="M27" s="6"/>
      <c r="N27" s="6"/>
    </row>
    <row r="28" spans="1:14" ht="15.75" x14ac:dyDescent="0.25">
      <c r="A28" s="16" t="s">
        <v>182</v>
      </c>
      <c r="B28" s="1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</row>
    <row r="29" spans="1:14" ht="15.75" x14ac:dyDescent="0.25">
      <c r="A29" s="16" t="s">
        <v>183</v>
      </c>
      <c r="B29" s="17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</row>
    <row r="30" spans="1:14" x14ac:dyDescent="0.2">
      <c r="A30" s="12"/>
      <c r="B30" s="14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</row>
    <row r="31" spans="1:14" x14ac:dyDescent="0.2">
      <c r="A31" s="12"/>
      <c r="B31" s="13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</row>
    <row r="32" spans="1:14" x14ac:dyDescent="0.2">
      <c r="A32" s="12"/>
      <c r="B32" s="14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</row>
    <row r="33" spans="1:13" x14ac:dyDescent="0.2">
      <c r="A33" s="12"/>
      <c r="B33" s="14"/>
      <c r="C33" s="6"/>
      <c r="D33" s="6"/>
      <c r="E33" s="6"/>
      <c r="F33" s="6"/>
      <c r="G33" s="6"/>
      <c r="H33" s="6"/>
      <c r="I33" s="6"/>
      <c r="J33" s="6"/>
      <c r="K33" s="6"/>
      <c r="L33" s="6"/>
      <c r="M33" s="6"/>
    </row>
    <row r="34" spans="1:13" x14ac:dyDescent="0.2">
      <c r="A34" s="12"/>
      <c r="B34" s="14"/>
      <c r="C34" s="15"/>
      <c r="D34" s="6"/>
      <c r="E34" s="6"/>
      <c r="F34" s="6"/>
      <c r="G34" s="6"/>
      <c r="H34" s="6"/>
      <c r="I34" s="6"/>
      <c r="J34" s="6"/>
      <c r="K34" s="6"/>
      <c r="L34" s="6"/>
      <c r="M34" s="6"/>
    </row>
    <row r="35" spans="1:13" x14ac:dyDescent="0.2">
      <c r="C35" s="6"/>
      <c r="D35" s="6"/>
      <c r="E35" s="6"/>
      <c r="F35" s="6"/>
      <c r="G35" s="6"/>
      <c r="H35" s="6"/>
      <c r="I35" s="6"/>
      <c r="J35" s="6"/>
      <c r="K35" s="6"/>
      <c r="L35" s="6"/>
      <c r="M35" s="6"/>
    </row>
    <row r="36" spans="1:13" x14ac:dyDescent="0.2">
      <c r="C36" s="6"/>
      <c r="D36" s="6"/>
      <c r="E36" s="6"/>
      <c r="F36" s="6"/>
      <c r="G36" s="6"/>
      <c r="H36" s="6"/>
      <c r="I36" s="6"/>
      <c r="J36" s="6"/>
      <c r="K36" s="6"/>
      <c r="L36" s="6"/>
      <c r="M36" s="6"/>
    </row>
    <row r="37" spans="1:13" x14ac:dyDescent="0.2">
      <c r="C37" s="6"/>
      <c r="D37" s="6"/>
      <c r="E37" s="6"/>
      <c r="F37" s="6"/>
      <c r="G37" s="6"/>
      <c r="H37" s="6"/>
      <c r="I37" s="6"/>
      <c r="J37" s="6"/>
      <c r="K37" s="6"/>
      <c r="L37" s="6"/>
      <c r="M37" s="6"/>
    </row>
    <row r="38" spans="1:13" x14ac:dyDescent="0.2">
      <c r="C38" s="6"/>
      <c r="D38" s="6"/>
      <c r="E38" s="6"/>
      <c r="F38" s="6"/>
      <c r="G38" s="6"/>
      <c r="H38" s="6"/>
      <c r="I38" s="6"/>
      <c r="J38" s="6"/>
      <c r="K38" s="6"/>
      <c r="L38" s="6"/>
      <c r="M38" s="6"/>
    </row>
    <row r="39" spans="1:13" x14ac:dyDescent="0.2"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</row>
    <row r="40" spans="1:13" x14ac:dyDescent="0.2"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</row>
    <row r="41" spans="1:13" x14ac:dyDescent="0.2"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</row>
    <row r="42" spans="1:13" x14ac:dyDescent="0.2"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</row>
    <row r="43" spans="1:13" x14ac:dyDescent="0.2"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</row>
    <row r="44" spans="1:13" x14ac:dyDescent="0.2"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</row>
    <row r="45" spans="1:13" x14ac:dyDescent="0.2">
      <c r="C45" s="6"/>
      <c r="D45" s="6"/>
      <c r="E45" s="6"/>
      <c r="F45" s="6"/>
      <c r="G45" s="6"/>
      <c r="H45" s="6"/>
      <c r="I45" s="6"/>
      <c r="J45" s="6"/>
      <c r="K45" s="6"/>
      <c r="L45" s="6"/>
      <c r="M45" s="6"/>
    </row>
    <row r="46" spans="1:13" x14ac:dyDescent="0.2">
      <c r="C46" s="6"/>
      <c r="D46" s="6"/>
      <c r="E46" s="6"/>
      <c r="F46" s="6"/>
      <c r="G46" s="6"/>
      <c r="H46" s="6"/>
      <c r="I46" s="6"/>
      <c r="J46" s="6"/>
      <c r="K46" s="6"/>
      <c r="L46" s="6"/>
      <c r="M46" s="6"/>
    </row>
    <row r="47" spans="1:13" x14ac:dyDescent="0.2">
      <c r="C47" s="6"/>
      <c r="D47" s="6"/>
      <c r="E47" s="6"/>
      <c r="F47" s="6"/>
      <c r="G47" s="6"/>
      <c r="H47" s="6"/>
      <c r="I47" s="6"/>
      <c r="J47" s="6"/>
      <c r="K47" s="6"/>
      <c r="L47" s="6"/>
      <c r="M47" s="6"/>
    </row>
    <row r="48" spans="1:13" x14ac:dyDescent="0.2">
      <c r="C48" s="6"/>
      <c r="D48" s="6"/>
      <c r="E48" s="6"/>
      <c r="F48" s="6"/>
      <c r="G48" s="6"/>
      <c r="H48" s="6"/>
      <c r="I48" s="6"/>
      <c r="J48" s="6"/>
      <c r="K48" s="6"/>
      <c r="L48" s="6"/>
      <c r="M48" s="6"/>
    </row>
    <row r="49" spans="3:13" x14ac:dyDescent="0.2">
      <c r="C49" s="6"/>
      <c r="D49" s="6"/>
      <c r="E49" s="6"/>
      <c r="F49" s="6"/>
      <c r="G49" s="6"/>
      <c r="H49" s="6"/>
      <c r="I49" s="6"/>
      <c r="J49" s="6"/>
      <c r="K49" s="6"/>
      <c r="L49" s="6"/>
      <c r="M49" s="6"/>
    </row>
    <row r="50" spans="3:13" x14ac:dyDescent="0.2">
      <c r="C50" s="6"/>
      <c r="D50" s="6"/>
      <c r="E50" s="6"/>
      <c r="F50" s="6"/>
      <c r="G50" s="6"/>
      <c r="H50" s="6"/>
      <c r="I50" s="6"/>
      <c r="J50" s="6"/>
      <c r="K50" s="6"/>
      <c r="L50" s="6"/>
      <c r="M50" s="6"/>
    </row>
    <row r="51" spans="3:13" x14ac:dyDescent="0.2">
      <c r="C51" s="6"/>
      <c r="D51" s="6"/>
      <c r="E51" s="6"/>
      <c r="F51" s="6"/>
      <c r="G51" s="6"/>
      <c r="H51" s="6"/>
      <c r="I51" s="6"/>
      <c r="J51" s="6"/>
      <c r="K51" s="6"/>
      <c r="L51" s="6"/>
      <c r="M51" s="6"/>
    </row>
    <row r="52" spans="3:13" x14ac:dyDescent="0.2">
      <c r="C52" s="6"/>
      <c r="D52" s="6"/>
      <c r="E52" s="6"/>
      <c r="F52" s="6"/>
      <c r="G52" s="6"/>
      <c r="H52" s="6"/>
      <c r="I52" s="6"/>
      <c r="J52" s="6"/>
      <c r="K52" s="6"/>
      <c r="L52" s="6"/>
      <c r="M52" s="6"/>
    </row>
    <row r="53" spans="3:13" x14ac:dyDescent="0.2">
      <c r="C53" s="6"/>
      <c r="D53" s="6"/>
      <c r="E53" s="6"/>
      <c r="F53" s="6"/>
      <c r="G53" s="6"/>
      <c r="H53" s="6"/>
      <c r="I53" s="6"/>
      <c r="J53" s="6"/>
      <c r="K53" s="6"/>
      <c r="L53" s="6"/>
      <c r="M53" s="6"/>
    </row>
    <row r="54" spans="3:13" x14ac:dyDescent="0.2">
      <c r="C54" s="6"/>
      <c r="D54" s="6"/>
      <c r="E54" s="6"/>
      <c r="F54" s="6"/>
      <c r="G54" s="6"/>
      <c r="H54" s="6"/>
      <c r="I54" s="6"/>
      <c r="J54" s="6"/>
      <c r="K54" s="6"/>
      <c r="L54" s="6"/>
      <c r="M54" s="6"/>
    </row>
    <row r="55" spans="3:13" x14ac:dyDescent="0.2">
      <c r="C55" s="6"/>
      <c r="D55" s="6"/>
      <c r="E55" s="6"/>
      <c r="F55" s="6"/>
      <c r="G55" s="6"/>
      <c r="H55" s="6"/>
      <c r="I55" s="6"/>
      <c r="J55" s="6"/>
      <c r="K55" s="6"/>
      <c r="L55" s="6"/>
      <c r="M55" s="6"/>
    </row>
    <row r="56" spans="3:13" x14ac:dyDescent="0.2">
      <c r="C56" s="6"/>
      <c r="D56" s="6"/>
      <c r="E56" s="6"/>
      <c r="F56" s="6"/>
      <c r="G56" s="6"/>
      <c r="H56" s="6"/>
      <c r="I56" s="6"/>
      <c r="J56" s="6"/>
      <c r="K56" s="6"/>
      <c r="L56" s="6"/>
      <c r="M56" s="6"/>
    </row>
    <row r="57" spans="3:13" x14ac:dyDescent="0.2"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</row>
    <row r="58" spans="3:13" x14ac:dyDescent="0.2"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</row>
    <row r="59" spans="3:13" x14ac:dyDescent="0.2"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</row>
    <row r="60" spans="3:13" x14ac:dyDescent="0.2"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</row>
    <row r="61" spans="3:13" x14ac:dyDescent="0.2"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</row>
    <row r="62" spans="3:13" x14ac:dyDescent="0.2"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</row>
    <row r="63" spans="3:13" x14ac:dyDescent="0.2"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</row>
    <row r="64" spans="3:13" x14ac:dyDescent="0.2"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</row>
    <row r="65" spans="3:13" x14ac:dyDescent="0.2"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</row>
    <row r="66" spans="3:13" x14ac:dyDescent="0.2"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</row>
    <row r="67" spans="3:13" x14ac:dyDescent="0.2">
      <c r="C67" s="6"/>
      <c r="D67" s="6"/>
      <c r="E67" s="6"/>
      <c r="F67" s="6"/>
      <c r="G67" s="6"/>
      <c r="H67" s="6"/>
      <c r="I67" s="6"/>
      <c r="J67" s="6"/>
      <c r="K67" s="6"/>
      <c r="L67" s="6"/>
      <c r="M67" s="6"/>
    </row>
    <row r="68" spans="3:13" x14ac:dyDescent="0.2">
      <c r="C68" s="6"/>
      <c r="D68" s="6"/>
      <c r="E68" s="6"/>
      <c r="F68" s="6"/>
      <c r="G68" s="6"/>
      <c r="H68" s="6"/>
      <c r="I68" s="6"/>
      <c r="J68" s="6"/>
      <c r="K68" s="6"/>
      <c r="L68" s="6"/>
      <c r="M68" s="6"/>
    </row>
    <row r="69" spans="3:13" x14ac:dyDescent="0.2"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</row>
    <row r="70" spans="3:13" x14ac:dyDescent="0.2"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</row>
    <row r="71" spans="3:13" x14ac:dyDescent="0.2">
      <c r="C71" s="6"/>
      <c r="D71" s="6"/>
      <c r="E71" s="6"/>
      <c r="F71" s="6"/>
      <c r="G71" s="6"/>
      <c r="H71" s="6"/>
      <c r="I71" s="6"/>
      <c r="J71" s="6"/>
      <c r="K71" s="6"/>
      <c r="L71" s="6"/>
      <c r="M71" s="6"/>
    </row>
    <row r="72" spans="3:13" x14ac:dyDescent="0.2">
      <c r="C72" s="6"/>
      <c r="D72" s="6"/>
      <c r="E72" s="6"/>
      <c r="F72" s="6"/>
      <c r="G72" s="6"/>
      <c r="H72" s="6"/>
      <c r="I72" s="6"/>
      <c r="J72" s="6"/>
      <c r="K72" s="6"/>
      <c r="L72" s="6"/>
      <c r="M72" s="6"/>
    </row>
    <row r="73" spans="3:13" x14ac:dyDescent="0.2">
      <c r="C73" s="6"/>
      <c r="D73" s="6"/>
      <c r="E73" s="6"/>
      <c r="F73" s="6"/>
      <c r="G73" s="6"/>
      <c r="H73" s="6"/>
      <c r="I73" s="6"/>
      <c r="J73" s="6"/>
      <c r="K73" s="6"/>
      <c r="L73" s="6"/>
      <c r="M73" s="6"/>
    </row>
    <row r="74" spans="3:13" x14ac:dyDescent="0.2">
      <c r="C74" s="6"/>
      <c r="D74" s="6"/>
      <c r="E74" s="6"/>
      <c r="F74" s="6"/>
      <c r="G74" s="6"/>
      <c r="H74" s="6"/>
      <c r="I74" s="6"/>
      <c r="J74" s="6"/>
      <c r="K74" s="6"/>
      <c r="L74" s="6"/>
      <c r="M74" s="6"/>
    </row>
    <row r="75" spans="3:13" x14ac:dyDescent="0.2">
      <c r="C75" s="6"/>
      <c r="D75" s="6"/>
      <c r="E75" s="6"/>
      <c r="F75" s="6"/>
      <c r="G75" s="6"/>
      <c r="H75" s="6"/>
      <c r="I75" s="6"/>
      <c r="J75" s="6"/>
      <c r="K75" s="6"/>
      <c r="L75" s="6"/>
      <c r="M75" s="6"/>
    </row>
    <row r="76" spans="3:13" x14ac:dyDescent="0.2">
      <c r="C76" s="6"/>
      <c r="D76" s="6"/>
      <c r="E76" s="6"/>
      <c r="F76" s="6"/>
      <c r="G76" s="6"/>
      <c r="H76" s="6"/>
      <c r="I76" s="6"/>
      <c r="J76" s="6"/>
      <c r="K76" s="6"/>
      <c r="L76" s="6"/>
      <c r="M76" s="6"/>
    </row>
    <row r="77" spans="3:13" x14ac:dyDescent="0.2">
      <c r="C77" s="6"/>
      <c r="D77" s="6"/>
      <c r="E77" s="6"/>
      <c r="F77" s="6"/>
      <c r="G77" s="6"/>
      <c r="H77" s="6"/>
      <c r="I77" s="6"/>
      <c r="J77" s="6"/>
      <c r="K77" s="6"/>
      <c r="L77" s="6"/>
      <c r="M77" s="6"/>
    </row>
    <row r="78" spans="3:13" x14ac:dyDescent="0.2">
      <c r="C78" s="6"/>
      <c r="D78" s="6"/>
      <c r="E78" s="6"/>
      <c r="F78" s="6"/>
      <c r="G78" s="6"/>
      <c r="H78" s="6"/>
      <c r="I78" s="6"/>
      <c r="J78" s="6"/>
      <c r="K78" s="6"/>
      <c r="L78" s="6"/>
      <c r="M78" s="6"/>
    </row>
    <row r="79" spans="3:13" x14ac:dyDescent="0.2">
      <c r="C79" s="6"/>
      <c r="D79" s="6"/>
      <c r="E79" s="6"/>
      <c r="F79" s="6"/>
      <c r="G79" s="6"/>
      <c r="H79" s="6"/>
      <c r="I79" s="6"/>
      <c r="J79" s="6"/>
      <c r="K79" s="6"/>
      <c r="L79" s="6"/>
      <c r="M79" s="6"/>
    </row>
    <row r="80" spans="3:13" x14ac:dyDescent="0.2">
      <c r="C80" s="6"/>
      <c r="D80" s="6"/>
      <c r="E80" s="6"/>
      <c r="F80" s="6"/>
      <c r="G80" s="6"/>
      <c r="H80" s="6"/>
      <c r="I80" s="6"/>
      <c r="J80" s="6"/>
      <c r="K80" s="6"/>
      <c r="L80" s="6"/>
      <c r="M80" s="6"/>
    </row>
    <row r="81" spans="3:13" x14ac:dyDescent="0.2">
      <c r="C81" s="6"/>
      <c r="D81" s="6"/>
      <c r="E81" s="6"/>
      <c r="F81" s="6"/>
      <c r="G81" s="6"/>
      <c r="H81" s="6"/>
      <c r="I81" s="6"/>
      <c r="J81" s="6"/>
      <c r="K81" s="6"/>
      <c r="L81" s="6"/>
      <c r="M81" s="6"/>
    </row>
    <row r="82" spans="3:13" x14ac:dyDescent="0.2"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</row>
    <row r="83" spans="3:13" x14ac:dyDescent="0.2">
      <c r="C83" s="6"/>
      <c r="D83" s="6"/>
      <c r="E83" s="6"/>
      <c r="F83" s="6"/>
      <c r="G83" s="6"/>
      <c r="H83" s="6"/>
      <c r="I83" s="6"/>
      <c r="J83" s="6"/>
      <c r="K83" s="6"/>
      <c r="L83" s="6"/>
      <c r="M83" s="6"/>
    </row>
    <row r="84" spans="3:13" x14ac:dyDescent="0.2">
      <c r="C84" s="6"/>
      <c r="D84" s="6"/>
      <c r="E84" s="6"/>
      <c r="F84" s="6"/>
      <c r="G84" s="6"/>
      <c r="H84" s="6"/>
      <c r="I84" s="6"/>
      <c r="J84" s="6"/>
      <c r="K84" s="6"/>
      <c r="L84" s="6"/>
      <c r="M84" s="6"/>
    </row>
    <row r="85" spans="3:13" x14ac:dyDescent="0.2">
      <c r="C85" s="6"/>
      <c r="D85" s="6"/>
      <c r="E85" s="6"/>
      <c r="F85" s="6"/>
      <c r="G85" s="6"/>
      <c r="H85" s="6"/>
      <c r="I85" s="6"/>
      <c r="J85" s="6"/>
      <c r="K85" s="6"/>
      <c r="L85" s="6"/>
      <c r="M85" s="6"/>
    </row>
    <row r="86" spans="3:13" x14ac:dyDescent="0.2"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</row>
    <row r="87" spans="3:13" x14ac:dyDescent="0.2">
      <c r="C87" s="6"/>
      <c r="D87" s="6"/>
      <c r="E87" s="6"/>
      <c r="F87" s="6"/>
      <c r="G87" s="6"/>
      <c r="H87" s="6"/>
      <c r="I87" s="6"/>
      <c r="J87" s="6"/>
      <c r="K87" s="6"/>
      <c r="L87" s="6"/>
      <c r="M87" s="6"/>
    </row>
    <row r="88" spans="3:13" x14ac:dyDescent="0.2">
      <c r="C88" s="6"/>
      <c r="D88" s="6"/>
      <c r="E88" s="6"/>
      <c r="F88" s="6"/>
      <c r="G88" s="6"/>
      <c r="H88" s="6"/>
      <c r="I88" s="6"/>
      <c r="J88" s="6"/>
      <c r="K88" s="6"/>
      <c r="L88" s="6"/>
      <c r="M88" s="6"/>
    </row>
    <row r="89" spans="3:13" x14ac:dyDescent="0.2">
      <c r="C89" s="6"/>
      <c r="D89" s="6"/>
      <c r="E89" s="6"/>
      <c r="F89" s="6"/>
      <c r="G89" s="6"/>
      <c r="H89" s="6"/>
      <c r="I89" s="6"/>
      <c r="J89" s="6"/>
      <c r="K89" s="6"/>
      <c r="L89" s="6"/>
      <c r="M89" s="6"/>
    </row>
    <row r="90" spans="3:13" x14ac:dyDescent="0.2">
      <c r="C90" s="6"/>
      <c r="D90" s="6"/>
      <c r="E90" s="6"/>
      <c r="F90" s="6"/>
      <c r="G90" s="6"/>
      <c r="H90" s="6"/>
      <c r="I90" s="6"/>
      <c r="J90" s="6"/>
      <c r="K90" s="6"/>
      <c r="L90" s="6"/>
      <c r="M90" s="6"/>
    </row>
    <row r="91" spans="3:13" x14ac:dyDescent="0.2">
      <c r="C91" s="6"/>
      <c r="D91" s="6"/>
      <c r="E91" s="6"/>
      <c r="F91" s="6"/>
      <c r="G91" s="6"/>
      <c r="H91" s="6"/>
      <c r="I91" s="6"/>
      <c r="J91" s="6"/>
      <c r="K91" s="6"/>
      <c r="L91" s="6"/>
      <c r="M91" s="6"/>
    </row>
    <row r="92" spans="3:13" x14ac:dyDescent="0.2">
      <c r="C92" s="6"/>
      <c r="D92" s="6"/>
      <c r="E92" s="6"/>
      <c r="F92" s="6"/>
      <c r="G92" s="6"/>
      <c r="H92" s="6"/>
      <c r="I92" s="6"/>
      <c r="J92" s="6"/>
      <c r="K92" s="6"/>
      <c r="L92" s="6"/>
      <c r="M92" s="6"/>
    </row>
    <row r="93" spans="3:13" x14ac:dyDescent="0.2">
      <c r="C93" s="6"/>
      <c r="D93" s="6"/>
      <c r="E93" s="6"/>
      <c r="F93" s="6"/>
      <c r="G93" s="6"/>
      <c r="H93" s="6"/>
      <c r="I93" s="6"/>
      <c r="J93" s="6"/>
      <c r="K93" s="6"/>
      <c r="L93" s="6"/>
      <c r="M93" s="6"/>
    </row>
    <row r="94" spans="3:13" x14ac:dyDescent="0.2">
      <c r="C94" s="6"/>
      <c r="D94" s="6"/>
      <c r="E94" s="6"/>
      <c r="F94" s="6"/>
      <c r="G94" s="6"/>
      <c r="H94" s="6"/>
      <c r="I94" s="6"/>
      <c r="J94" s="6"/>
      <c r="K94" s="6"/>
      <c r="L94" s="6"/>
      <c r="M94" s="6"/>
    </row>
    <row r="95" spans="3:13" x14ac:dyDescent="0.2">
      <c r="C95" s="6"/>
      <c r="D95" s="6"/>
      <c r="E95" s="6"/>
      <c r="F95" s="6"/>
      <c r="G95" s="6"/>
      <c r="H95" s="6"/>
      <c r="I95" s="6"/>
      <c r="J95" s="6"/>
      <c r="K95" s="6"/>
      <c r="L95" s="6"/>
      <c r="M95" s="6"/>
    </row>
    <row r="96" spans="3:13" x14ac:dyDescent="0.2">
      <c r="C96" s="6"/>
      <c r="D96" s="6"/>
      <c r="E96" s="6"/>
      <c r="F96" s="6"/>
      <c r="G96" s="6"/>
      <c r="H96" s="6"/>
      <c r="I96" s="6"/>
      <c r="J96" s="6"/>
      <c r="K96" s="6"/>
      <c r="L96" s="6"/>
      <c r="M96" s="6"/>
    </row>
    <row r="97" spans="3:13" x14ac:dyDescent="0.2">
      <c r="C97" s="6"/>
      <c r="D97" s="6"/>
      <c r="E97" s="6"/>
      <c r="F97" s="6"/>
      <c r="G97" s="6"/>
      <c r="H97" s="6"/>
      <c r="I97" s="6"/>
      <c r="J97" s="6"/>
      <c r="K97" s="6"/>
      <c r="L97" s="6"/>
      <c r="M97" s="6"/>
    </row>
    <row r="98" spans="3:13" x14ac:dyDescent="0.2">
      <c r="C98" s="6"/>
      <c r="D98" s="6"/>
      <c r="E98" s="6"/>
      <c r="F98" s="6"/>
      <c r="G98" s="6"/>
      <c r="H98" s="6"/>
      <c r="I98" s="6"/>
      <c r="J98" s="6"/>
      <c r="K98" s="6"/>
      <c r="L98" s="6"/>
      <c r="M98" s="6"/>
    </row>
    <row r="99" spans="3:13" x14ac:dyDescent="0.2">
      <c r="C99" s="6"/>
      <c r="D99" s="6"/>
      <c r="E99" s="6"/>
      <c r="F99" s="6"/>
      <c r="G99" s="6"/>
      <c r="H99" s="6"/>
      <c r="I99" s="6"/>
      <c r="J99" s="6"/>
      <c r="K99" s="6"/>
      <c r="L99" s="6"/>
      <c r="M99" s="6"/>
    </row>
    <row r="100" spans="3:13" x14ac:dyDescent="0.2">
      <c r="C100" s="6"/>
      <c r="D100" s="6"/>
      <c r="E100" s="6"/>
      <c r="F100" s="6"/>
      <c r="G100" s="6"/>
      <c r="H100" s="6"/>
      <c r="I100" s="6"/>
      <c r="J100" s="6"/>
      <c r="K100" s="6"/>
      <c r="L100" s="6"/>
      <c r="M100" s="6"/>
    </row>
    <row r="101" spans="3:13" x14ac:dyDescent="0.2">
      <c r="C101" s="6"/>
      <c r="D101" s="6"/>
      <c r="E101" s="6"/>
      <c r="F101" s="6"/>
      <c r="G101" s="6"/>
      <c r="H101" s="6"/>
      <c r="I101" s="6"/>
      <c r="J101" s="6"/>
      <c r="K101" s="6"/>
      <c r="L101" s="6"/>
      <c r="M101" s="6"/>
    </row>
    <row r="102" spans="3:13" x14ac:dyDescent="0.2">
      <c r="C102" s="6"/>
      <c r="D102" s="6"/>
      <c r="E102" s="6"/>
      <c r="F102" s="6"/>
      <c r="G102" s="6"/>
      <c r="H102" s="6"/>
      <c r="I102" s="6"/>
      <c r="J102" s="6"/>
      <c r="K102" s="6"/>
      <c r="L102" s="6"/>
      <c r="M102" s="6"/>
    </row>
    <row r="103" spans="3:13" x14ac:dyDescent="0.2">
      <c r="C103" s="6"/>
      <c r="D103" s="6"/>
      <c r="E103" s="6"/>
      <c r="F103" s="6"/>
      <c r="G103" s="6"/>
      <c r="H103" s="6"/>
      <c r="I103" s="6"/>
      <c r="J103" s="6"/>
      <c r="K103" s="6"/>
      <c r="L103" s="6"/>
      <c r="M103" s="6"/>
    </row>
    <row r="104" spans="3:13" x14ac:dyDescent="0.2">
      <c r="C104" s="6"/>
      <c r="D104" s="6"/>
      <c r="E104" s="6"/>
      <c r="F104" s="6"/>
      <c r="G104" s="6"/>
      <c r="H104" s="6"/>
      <c r="I104" s="6"/>
      <c r="J104" s="6"/>
      <c r="K104" s="6"/>
      <c r="L104" s="6"/>
      <c r="M104" s="6"/>
    </row>
    <row r="105" spans="3:13" x14ac:dyDescent="0.2">
      <c r="C105" s="6"/>
      <c r="D105" s="6"/>
      <c r="E105" s="6"/>
      <c r="F105" s="6"/>
      <c r="G105" s="6"/>
      <c r="H105" s="6"/>
      <c r="I105" s="6"/>
      <c r="J105" s="6"/>
      <c r="K105" s="6"/>
      <c r="L105" s="6"/>
      <c r="M105" s="6"/>
    </row>
    <row r="106" spans="3:13" x14ac:dyDescent="0.2">
      <c r="C106" s="6"/>
      <c r="D106" s="6"/>
      <c r="E106" s="6"/>
      <c r="F106" s="6"/>
      <c r="G106" s="6"/>
      <c r="H106" s="6"/>
      <c r="I106" s="6"/>
      <c r="J106" s="6"/>
      <c r="K106" s="6"/>
      <c r="L106" s="6"/>
      <c r="M106" s="6"/>
    </row>
    <row r="107" spans="3:13" x14ac:dyDescent="0.2">
      <c r="C107" s="6"/>
      <c r="D107" s="6"/>
      <c r="E107" s="6"/>
      <c r="F107" s="6"/>
      <c r="G107" s="6"/>
      <c r="H107" s="6"/>
      <c r="I107" s="6"/>
      <c r="J107" s="6"/>
      <c r="K107" s="6"/>
      <c r="L107" s="6"/>
      <c r="M107" s="6"/>
    </row>
    <row r="108" spans="3:13" x14ac:dyDescent="0.2">
      <c r="C108" s="6"/>
      <c r="D108" s="6"/>
      <c r="E108" s="6"/>
      <c r="F108" s="6"/>
      <c r="G108" s="6"/>
      <c r="H108" s="6"/>
      <c r="I108" s="6"/>
      <c r="J108" s="6"/>
      <c r="K108" s="6"/>
      <c r="L108" s="6"/>
      <c r="M108" s="6"/>
    </row>
    <row r="109" spans="3:13" x14ac:dyDescent="0.2">
      <c r="C109" s="6"/>
      <c r="D109" s="6"/>
      <c r="E109" s="6"/>
      <c r="F109" s="6"/>
      <c r="G109" s="6"/>
      <c r="H109" s="6"/>
      <c r="I109" s="6"/>
      <c r="J109" s="6"/>
      <c r="K109" s="6"/>
      <c r="L109" s="6"/>
      <c r="M109" s="6"/>
    </row>
    <row r="110" spans="3:13" x14ac:dyDescent="0.2">
      <c r="C110" s="6"/>
      <c r="D110" s="6"/>
      <c r="E110" s="6"/>
      <c r="F110" s="6"/>
      <c r="G110" s="6"/>
      <c r="H110" s="6"/>
      <c r="I110" s="6"/>
      <c r="J110" s="6"/>
      <c r="K110" s="6"/>
      <c r="L110" s="6"/>
      <c r="M110" s="6"/>
    </row>
    <row r="111" spans="3:13" x14ac:dyDescent="0.2">
      <c r="C111" s="6"/>
      <c r="D111" s="6"/>
      <c r="E111" s="6"/>
      <c r="F111" s="6"/>
      <c r="G111" s="6"/>
      <c r="H111" s="6"/>
      <c r="I111" s="6"/>
      <c r="J111" s="6"/>
      <c r="K111" s="6"/>
      <c r="L111" s="6"/>
      <c r="M111" s="6"/>
    </row>
    <row r="112" spans="3:13" x14ac:dyDescent="0.2">
      <c r="C112" s="6"/>
      <c r="D112" s="6"/>
      <c r="E112" s="6"/>
      <c r="F112" s="6"/>
      <c r="G112" s="6"/>
      <c r="H112" s="6"/>
      <c r="I112" s="6"/>
      <c r="J112" s="6"/>
      <c r="K112" s="6"/>
      <c r="L112" s="6"/>
      <c r="M112" s="6"/>
    </row>
    <row r="113" spans="3:13" x14ac:dyDescent="0.2">
      <c r="C113" s="6"/>
      <c r="D113" s="6"/>
      <c r="E113" s="6"/>
      <c r="F113" s="6"/>
      <c r="G113" s="6"/>
      <c r="H113" s="6"/>
      <c r="I113" s="6"/>
      <c r="J113" s="6"/>
      <c r="K113" s="6"/>
      <c r="L113" s="6"/>
      <c r="M113" s="6"/>
    </row>
  </sheetData>
  <mergeCells count="6">
    <mergeCell ref="A7:E7"/>
    <mergeCell ref="C1:E1"/>
    <mergeCell ref="B2:E2"/>
    <mergeCell ref="B3:E3"/>
    <mergeCell ref="B4:E4"/>
    <mergeCell ref="B5:E5"/>
  </mergeCells>
  <printOptions horizontalCentered="1"/>
  <pageMargins left="0.55118110236220474" right="0.19685039370078741" top="0.51181102362204722" bottom="0.27559055118110237" header="0.15748031496062992" footer="0.19685039370078741"/>
  <pageSetup paperSize="9" scale="75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  <pageSetUpPr fitToPage="1"/>
  </sheetPr>
  <dimension ref="A1:X257"/>
  <sheetViews>
    <sheetView view="pageBreakPreview" topLeftCell="A39" zoomScaleSheetLayoutView="100" workbookViewId="0">
      <selection activeCell="A44" sqref="A44:XFD94"/>
    </sheetView>
  </sheetViews>
  <sheetFormatPr defaultRowHeight="15" x14ac:dyDescent="0.2"/>
  <cols>
    <col min="1" max="1" width="21.5703125" style="97" customWidth="1"/>
    <col min="2" max="2" width="67.28515625" style="97" customWidth="1"/>
    <col min="3" max="3" width="18" style="97" customWidth="1"/>
    <col min="4" max="4" width="15.42578125" style="97" bestFit="1" customWidth="1"/>
    <col min="5" max="5" width="12.42578125" style="97" bestFit="1" customWidth="1"/>
    <col min="6" max="6" width="16.5703125" style="97" customWidth="1"/>
    <col min="7" max="7" width="11.28515625" style="97" customWidth="1"/>
    <col min="8" max="8" width="11.140625" style="97" customWidth="1"/>
    <col min="9" max="9" width="10.42578125" style="97" customWidth="1"/>
    <col min="10" max="10" width="9.140625" style="97"/>
    <col min="11" max="11" width="15.5703125" style="97" customWidth="1"/>
    <col min="12" max="256" width="9.140625" style="97"/>
    <col min="257" max="257" width="21.5703125" style="97" customWidth="1"/>
    <col min="258" max="258" width="67.28515625" style="97" customWidth="1"/>
    <col min="259" max="259" width="18" style="97" customWidth="1"/>
    <col min="260" max="512" width="9.140625" style="97"/>
    <col min="513" max="513" width="21.5703125" style="97" customWidth="1"/>
    <col min="514" max="514" width="67.28515625" style="97" customWidth="1"/>
    <col min="515" max="515" width="18" style="97" customWidth="1"/>
    <col min="516" max="768" width="9.140625" style="97"/>
    <col min="769" max="769" width="21.5703125" style="97" customWidth="1"/>
    <col min="770" max="770" width="67.28515625" style="97" customWidth="1"/>
    <col min="771" max="771" width="18" style="97" customWidth="1"/>
    <col min="772" max="1024" width="9.140625" style="97"/>
    <col min="1025" max="1025" width="21.5703125" style="97" customWidth="1"/>
    <col min="1026" max="1026" width="67.28515625" style="97" customWidth="1"/>
    <col min="1027" max="1027" width="18" style="97" customWidth="1"/>
    <col min="1028" max="1280" width="9.140625" style="97"/>
    <col min="1281" max="1281" width="21.5703125" style="97" customWidth="1"/>
    <col min="1282" max="1282" width="67.28515625" style="97" customWidth="1"/>
    <col min="1283" max="1283" width="18" style="97" customWidth="1"/>
    <col min="1284" max="1536" width="9.140625" style="97"/>
    <col min="1537" max="1537" width="21.5703125" style="97" customWidth="1"/>
    <col min="1538" max="1538" width="67.28515625" style="97" customWidth="1"/>
    <col min="1539" max="1539" width="18" style="97" customWidth="1"/>
    <col min="1540" max="1792" width="9.140625" style="97"/>
    <col min="1793" max="1793" width="21.5703125" style="97" customWidth="1"/>
    <col min="1794" max="1794" width="67.28515625" style="97" customWidth="1"/>
    <col min="1795" max="1795" width="18" style="97" customWidth="1"/>
    <col min="1796" max="2048" width="9.140625" style="97"/>
    <col min="2049" max="2049" width="21.5703125" style="97" customWidth="1"/>
    <col min="2050" max="2050" width="67.28515625" style="97" customWidth="1"/>
    <col min="2051" max="2051" width="18" style="97" customWidth="1"/>
    <col min="2052" max="2304" width="9.140625" style="97"/>
    <col min="2305" max="2305" width="21.5703125" style="97" customWidth="1"/>
    <col min="2306" max="2306" width="67.28515625" style="97" customWidth="1"/>
    <col min="2307" max="2307" width="18" style="97" customWidth="1"/>
    <col min="2308" max="2560" width="9.140625" style="97"/>
    <col min="2561" max="2561" width="21.5703125" style="97" customWidth="1"/>
    <col min="2562" max="2562" width="67.28515625" style="97" customWidth="1"/>
    <col min="2563" max="2563" width="18" style="97" customWidth="1"/>
    <col min="2564" max="2816" width="9.140625" style="97"/>
    <col min="2817" max="2817" width="21.5703125" style="97" customWidth="1"/>
    <col min="2818" max="2818" width="67.28515625" style="97" customWidth="1"/>
    <col min="2819" max="2819" width="18" style="97" customWidth="1"/>
    <col min="2820" max="3072" width="9.140625" style="97"/>
    <col min="3073" max="3073" width="21.5703125" style="97" customWidth="1"/>
    <col min="3074" max="3074" width="67.28515625" style="97" customWidth="1"/>
    <col min="3075" max="3075" width="18" style="97" customWidth="1"/>
    <col min="3076" max="3328" width="9.140625" style="97"/>
    <col min="3329" max="3329" width="21.5703125" style="97" customWidth="1"/>
    <col min="3330" max="3330" width="67.28515625" style="97" customWidth="1"/>
    <col min="3331" max="3331" width="18" style="97" customWidth="1"/>
    <col min="3332" max="3584" width="9.140625" style="97"/>
    <col min="3585" max="3585" width="21.5703125" style="97" customWidth="1"/>
    <col min="3586" max="3586" width="67.28515625" style="97" customWidth="1"/>
    <col min="3587" max="3587" width="18" style="97" customWidth="1"/>
    <col min="3588" max="3840" width="9.140625" style="97"/>
    <col min="3841" max="3841" width="21.5703125" style="97" customWidth="1"/>
    <col min="3842" max="3842" width="67.28515625" style="97" customWidth="1"/>
    <col min="3843" max="3843" width="18" style="97" customWidth="1"/>
    <col min="3844" max="4096" width="9.140625" style="97"/>
    <col min="4097" max="4097" width="21.5703125" style="97" customWidth="1"/>
    <col min="4098" max="4098" width="67.28515625" style="97" customWidth="1"/>
    <col min="4099" max="4099" width="18" style="97" customWidth="1"/>
    <col min="4100" max="4352" width="9.140625" style="97"/>
    <col min="4353" max="4353" width="21.5703125" style="97" customWidth="1"/>
    <col min="4354" max="4354" width="67.28515625" style="97" customWidth="1"/>
    <col min="4355" max="4355" width="18" style="97" customWidth="1"/>
    <col min="4356" max="4608" width="9.140625" style="97"/>
    <col min="4609" max="4609" width="21.5703125" style="97" customWidth="1"/>
    <col min="4610" max="4610" width="67.28515625" style="97" customWidth="1"/>
    <col min="4611" max="4611" width="18" style="97" customWidth="1"/>
    <col min="4612" max="4864" width="9.140625" style="97"/>
    <col min="4865" max="4865" width="21.5703125" style="97" customWidth="1"/>
    <col min="4866" max="4866" width="67.28515625" style="97" customWidth="1"/>
    <col min="4867" max="4867" width="18" style="97" customWidth="1"/>
    <col min="4868" max="5120" width="9.140625" style="97"/>
    <col min="5121" max="5121" width="21.5703125" style="97" customWidth="1"/>
    <col min="5122" max="5122" width="67.28515625" style="97" customWidth="1"/>
    <col min="5123" max="5123" width="18" style="97" customWidth="1"/>
    <col min="5124" max="5376" width="9.140625" style="97"/>
    <col min="5377" max="5377" width="21.5703125" style="97" customWidth="1"/>
    <col min="5378" max="5378" width="67.28515625" style="97" customWidth="1"/>
    <col min="5379" max="5379" width="18" style="97" customWidth="1"/>
    <col min="5380" max="5632" width="9.140625" style="97"/>
    <col min="5633" max="5633" width="21.5703125" style="97" customWidth="1"/>
    <col min="5634" max="5634" width="67.28515625" style="97" customWidth="1"/>
    <col min="5635" max="5635" width="18" style="97" customWidth="1"/>
    <col min="5636" max="5888" width="9.140625" style="97"/>
    <col min="5889" max="5889" width="21.5703125" style="97" customWidth="1"/>
    <col min="5890" max="5890" width="67.28515625" style="97" customWidth="1"/>
    <col min="5891" max="5891" width="18" style="97" customWidth="1"/>
    <col min="5892" max="6144" width="9.140625" style="97"/>
    <col min="6145" max="6145" width="21.5703125" style="97" customWidth="1"/>
    <col min="6146" max="6146" width="67.28515625" style="97" customWidth="1"/>
    <col min="6147" max="6147" width="18" style="97" customWidth="1"/>
    <col min="6148" max="6400" width="9.140625" style="97"/>
    <col min="6401" max="6401" width="21.5703125" style="97" customWidth="1"/>
    <col min="6402" max="6402" width="67.28515625" style="97" customWidth="1"/>
    <col min="6403" max="6403" width="18" style="97" customWidth="1"/>
    <col min="6404" max="6656" width="9.140625" style="97"/>
    <col min="6657" max="6657" width="21.5703125" style="97" customWidth="1"/>
    <col min="6658" max="6658" width="67.28515625" style="97" customWidth="1"/>
    <col min="6659" max="6659" width="18" style="97" customWidth="1"/>
    <col min="6660" max="6912" width="9.140625" style="97"/>
    <col min="6913" max="6913" width="21.5703125" style="97" customWidth="1"/>
    <col min="6914" max="6914" width="67.28515625" style="97" customWidth="1"/>
    <col min="6915" max="6915" width="18" style="97" customWidth="1"/>
    <col min="6916" max="7168" width="9.140625" style="97"/>
    <col min="7169" max="7169" width="21.5703125" style="97" customWidth="1"/>
    <col min="7170" max="7170" width="67.28515625" style="97" customWidth="1"/>
    <col min="7171" max="7171" width="18" style="97" customWidth="1"/>
    <col min="7172" max="7424" width="9.140625" style="97"/>
    <col min="7425" max="7425" width="21.5703125" style="97" customWidth="1"/>
    <col min="7426" max="7426" width="67.28515625" style="97" customWidth="1"/>
    <col min="7427" max="7427" width="18" style="97" customWidth="1"/>
    <col min="7428" max="7680" width="9.140625" style="97"/>
    <col min="7681" max="7681" width="21.5703125" style="97" customWidth="1"/>
    <col min="7682" max="7682" width="67.28515625" style="97" customWidth="1"/>
    <col min="7683" max="7683" width="18" style="97" customWidth="1"/>
    <col min="7684" max="7936" width="9.140625" style="97"/>
    <col min="7937" max="7937" width="21.5703125" style="97" customWidth="1"/>
    <col min="7938" max="7938" width="67.28515625" style="97" customWidth="1"/>
    <col min="7939" max="7939" width="18" style="97" customWidth="1"/>
    <col min="7940" max="8192" width="9.140625" style="97"/>
    <col min="8193" max="8193" width="21.5703125" style="97" customWidth="1"/>
    <col min="8194" max="8194" width="67.28515625" style="97" customWidth="1"/>
    <col min="8195" max="8195" width="18" style="97" customWidth="1"/>
    <col min="8196" max="8448" width="9.140625" style="97"/>
    <col min="8449" max="8449" width="21.5703125" style="97" customWidth="1"/>
    <col min="8450" max="8450" width="67.28515625" style="97" customWidth="1"/>
    <col min="8451" max="8451" width="18" style="97" customWidth="1"/>
    <col min="8452" max="8704" width="9.140625" style="97"/>
    <col min="8705" max="8705" width="21.5703125" style="97" customWidth="1"/>
    <col min="8706" max="8706" width="67.28515625" style="97" customWidth="1"/>
    <col min="8707" max="8707" width="18" style="97" customWidth="1"/>
    <col min="8708" max="8960" width="9.140625" style="97"/>
    <col min="8961" max="8961" width="21.5703125" style="97" customWidth="1"/>
    <col min="8962" max="8962" width="67.28515625" style="97" customWidth="1"/>
    <col min="8963" max="8963" width="18" style="97" customWidth="1"/>
    <col min="8964" max="9216" width="9.140625" style="97"/>
    <col min="9217" max="9217" width="21.5703125" style="97" customWidth="1"/>
    <col min="9218" max="9218" width="67.28515625" style="97" customWidth="1"/>
    <col min="9219" max="9219" width="18" style="97" customWidth="1"/>
    <col min="9220" max="9472" width="9.140625" style="97"/>
    <col min="9473" max="9473" width="21.5703125" style="97" customWidth="1"/>
    <col min="9474" max="9474" width="67.28515625" style="97" customWidth="1"/>
    <col min="9475" max="9475" width="18" style="97" customWidth="1"/>
    <col min="9476" max="9728" width="9.140625" style="97"/>
    <col min="9729" max="9729" width="21.5703125" style="97" customWidth="1"/>
    <col min="9730" max="9730" width="67.28515625" style="97" customWidth="1"/>
    <col min="9731" max="9731" width="18" style="97" customWidth="1"/>
    <col min="9732" max="9984" width="9.140625" style="97"/>
    <col min="9985" max="9985" width="21.5703125" style="97" customWidth="1"/>
    <col min="9986" max="9986" width="67.28515625" style="97" customWidth="1"/>
    <col min="9987" max="9987" width="18" style="97" customWidth="1"/>
    <col min="9988" max="10240" width="9.140625" style="97"/>
    <col min="10241" max="10241" width="21.5703125" style="97" customWidth="1"/>
    <col min="10242" max="10242" width="67.28515625" style="97" customWidth="1"/>
    <col min="10243" max="10243" width="18" style="97" customWidth="1"/>
    <col min="10244" max="10496" width="9.140625" style="97"/>
    <col min="10497" max="10497" width="21.5703125" style="97" customWidth="1"/>
    <col min="10498" max="10498" width="67.28515625" style="97" customWidth="1"/>
    <col min="10499" max="10499" width="18" style="97" customWidth="1"/>
    <col min="10500" max="10752" width="9.140625" style="97"/>
    <col min="10753" max="10753" width="21.5703125" style="97" customWidth="1"/>
    <col min="10754" max="10754" width="67.28515625" style="97" customWidth="1"/>
    <col min="10755" max="10755" width="18" style="97" customWidth="1"/>
    <col min="10756" max="11008" width="9.140625" style="97"/>
    <col min="11009" max="11009" width="21.5703125" style="97" customWidth="1"/>
    <col min="11010" max="11010" width="67.28515625" style="97" customWidth="1"/>
    <col min="11011" max="11011" width="18" style="97" customWidth="1"/>
    <col min="11012" max="11264" width="9.140625" style="97"/>
    <col min="11265" max="11265" width="21.5703125" style="97" customWidth="1"/>
    <col min="11266" max="11266" width="67.28515625" style="97" customWidth="1"/>
    <col min="11267" max="11267" width="18" style="97" customWidth="1"/>
    <col min="11268" max="11520" width="9.140625" style="97"/>
    <col min="11521" max="11521" width="21.5703125" style="97" customWidth="1"/>
    <col min="11522" max="11522" width="67.28515625" style="97" customWidth="1"/>
    <col min="11523" max="11523" width="18" style="97" customWidth="1"/>
    <col min="11524" max="11776" width="9.140625" style="97"/>
    <col min="11777" max="11777" width="21.5703125" style="97" customWidth="1"/>
    <col min="11778" max="11778" width="67.28515625" style="97" customWidth="1"/>
    <col min="11779" max="11779" width="18" style="97" customWidth="1"/>
    <col min="11780" max="12032" width="9.140625" style="97"/>
    <col min="12033" max="12033" width="21.5703125" style="97" customWidth="1"/>
    <col min="12034" max="12034" width="67.28515625" style="97" customWidth="1"/>
    <col min="12035" max="12035" width="18" style="97" customWidth="1"/>
    <col min="12036" max="12288" width="9.140625" style="97"/>
    <col min="12289" max="12289" width="21.5703125" style="97" customWidth="1"/>
    <col min="12290" max="12290" width="67.28515625" style="97" customWidth="1"/>
    <col min="12291" max="12291" width="18" style="97" customWidth="1"/>
    <col min="12292" max="12544" width="9.140625" style="97"/>
    <col min="12545" max="12545" width="21.5703125" style="97" customWidth="1"/>
    <col min="12546" max="12546" width="67.28515625" style="97" customWidth="1"/>
    <col min="12547" max="12547" width="18" style="97" customWidth="1"/>
    <col min="12548" max="12800" width="9.140625" style="97"/>
    <col min="12801" max="12801" width="21.5703125" style="97" customWidth="1"/>
    <col min="12802" max="12802" width="67.28515625" style="97" customWidth="1"/>
    <col min="12803" max="12803" width="18" style="97" customWidth="1"/>
    <col min="12804" max="13056" width="9.140625" style="97"/>
    <col min="13057" max="13057" width="21.5703125" style="97" customWidth="1"/>
    <col min="13058" max="13058" width="67.28515625" style="97" customWidth="1"/>
    <col min="13059" max="13059" width="18" style="97" customWidth="1"/>
    <col min="13060" max="13312" width="9.140625" style="97"/>
    <col min="13313" max="13313" width="21.5703125" style="97" customWidth="1"/>
    <col min="13314" max="13314" width="67.28515625" style="97" customWidth="1"/>
    <col min="13315" max="13315" width="18" style="97" customWidth="1"/>
    <col min="13316" max="13568" width="9.140625" style="97"/>
    <col min="13569" max="13569" width="21.5703125" style="97" customWidth="1"/>
    <col min="13570" max="13570" width="67.28515625" style="97" customWidth="1"/>
    <col min="13571" max="13571" width="18" style="97" customWidth="1"/>
    <col min="13572" max="13824" width="9.140625" style="97"/>
    <col min="13825" max="13825" width="21.5703125" style="97" customWidth="1"/>
    <col min="13826" max="13826" width="67.28515625" style="97" customWidth="1"/>
    <col min="13827" max="13827" width="18" style="97" customWidth="1"/>
    <col min="13828" max="14080" width="9.140625" style="97"/>
    <col min="14081" max="14081" width="21.5703125" style="97" customWidth="1"/>
    <col min="14082" max="14082" width="67.28515625" style="97" customWidth="1"/>
    <col min="14083" max="14083" width="18" style="97" customWidth="1"/>
    <col min="14084" max="14336" width="9.140625" style="97"/>
    <col min="14337" max="14337" width="21.5703125" style="97" customWidth="1"/>
    <col min="14338" max="14338" width="67.28515625" style="97" customWidth="1"/>
    <col min="14339" max="14339" width="18" style="97" customWidth="1"/>
    <col min="14340" max="14592" width="9.140625" style="97"/>
    <col min="14593" max="14593" width="21.5703125" style="97" customWidth="1"/>
    <col min="14594" max="14594" width="67.28515625" style="97" customWidth="1"/>
    <col min="14595" max="14595" width="18" style="97" customWidth="1"/>
    <col min="14596" max="14848" width="9.140625" style="97"/>
    <col min="14849" max="14849" width="21.5703125" style="97" customWidth="1"/>
    <col min="14850" max="14850" width="67.28515625" style="97" customWidth="1"/>
    <col min="14851" max="14851" width="18" style="97" customWidth="1"/>
    <col min="14852" max="15104" width="9.140625" style="97"/>
    <col min="15105" max="15105" width="21.5703125" style="97" customWidth="1"/>
    <col min="15106" max="15106" width="67.28515625" style="97" customWidth="1"/>
    <col min="15107" max="15107" width="18" style="97" customWidth="1"/>
    <col min="15108" max="15360" width="9.140625" style="97"/>
    <col min="15361" max="15361" width="21.5703125" style="97" customWidth="1"/>
    <col min="15362" max="15362" width="67.28515625" style="97" customWidth="1"/>
    <col min="15363" max="15363" width="18" style="97" customWidth="1"/>
    <col min="15364" max="15616" width="9.140625" style="97"/>
    <col min="15617" max="15617" width="21.5703125" style="97" customWidth="1"/>
    <col min="15618" max="15618" width="67.28515625" style="97" customWidth="1"/>
    <col min="15619" max="15619" width="18" style="97" customWidth="1"/>
    <col min="15620" max="15872" width="9.140625" style="97"/>
    <col min="15873" max="15873" width="21.5703125" style="97" customWidth="1"/>
    <col min="15874" max="15874" width="67.28515625" style="97" customWidth="1"/>
    <col min="15875" max="15875" width="18" style="97" customWidth="1"/>
    <col min="15876" max="16128" width="9.140625" style="97"/>
    <col min="16129" max="16129" width="21.5703125" style="97" customWidth="1"/>
    <col min="16130" max="16130" width="67.28515625" style="97" customWidth="1"/>
    <col min="16131" max="16131" width="18" style="97" customWidth="1"/>
    <col min="16132" max="16384" width="9.140625" style="97"/>
  </cols>
  <sheetData>
    <row r="1" spans="1:24" ht="15.75" x14ac:dyDescent="0.2">
      <c r="A1" s="96"/>
      <c r="B1" s="138"/>
      <c r="C1" s="491" t="s">
        <v>615</v>
      </c>
      <c r="D1" s="491"/>
      <c r="E1" s="491"/>
    </row>
    <row r="2" spans="1:24" ht="15.75" x14ac:dyDescent="0.2">
      <c r="A2" s="96"/>
      <c r="B2" s="138"/>
      <c r="C2" s="491" t="s">
        <v>127</v>
      </c>
      <c r="D2" s="491"/>
      <c r="E2" s="491"/>
    </row>
    <row r="3" spans="1:24" ht="15.75" x14ac:dyDescent="0.2">
      <c r="A3" s="96"/>
      <c r="B3" s="491" t="s">
        <v>167</v>
      </c>
      <c r="C3" s="491"/>
      <c r="D3" s="491"/>
      <c r="E3" s="491"/>
    </row>
    <row r="4" spans="1:24" ht="15" customHeight="1" x14ac:dyDescent="0.2">
      <c r="A4" s="96"/>
      <c r="B4" s="491" t="s">
        <v>168</v>
      </c>
      <c r="C4" s="491"/>
      <c r="D4" s="491"/>
      <c r="E4" s="491"/>
    </row>
    <row r="5" spans="1:24" ht="15" customHeight="1" x14ac:dyDescent="0.2">
      <c r="A5" s="96"/>
      <c r="B5" s="491" t="s">
        <v>533</v>
      </c>
      <c r="C5" s="491"/>
      <c r="D5" s="491"/>
      <c r="E5" s="491"/>
    </row>
    <row r="6" spans="1:24" x14ac:dyDescent="0.2">
      <c r="A6" s="98"/>
    </row>
    <row r="7" spans="1:24" x14ac:dyDescent="0.2">
      <c r="A7" s="490" t="s">
        <v>184</v>
      </c>
      <c r="B7" s="490"/>
      <c r="C7" s="490"/>
      <c r="D7" s="490"/>
      <c r="E7" s="490"/>
    </row>
    <row r="8" spans="1:24" x14ac:dyDescent="0.2">
      <c r="A8" s="490" t="s">
        <v>599</v>
      </c>
      <c r="B8" s="490"/>
      <c r="C8" s="490"/>
      <c r="D8" s="490"/>
      <c r="E8" s="490"/>
    </row>
    <row r="9" spans="1:24" ht="15.75" thickBot="1" x14ac:dyDescent="0.25">
      <c r="A9" s="99"/>
      <c r="B9" s="99"/>
      <c r="E9" s="100" t="s">
        <v>114</v>
      </c>
    </row>
    <row r="10" spans="1:24" ht="29.25" thickBot="1" x14ac:dyDescent="0.25">
      <c r="A10" s="18" t="s">
        <v>185</v>
      </c>
      <c r="B10" s="18" t="s">
        <v>186</v>
      </c>
      <c r="C10" s="5" t="s">
        <v>591</v>
      </c>
      <c r="D10" s="94" t="s">
        <v>594</v>
      </c>
      <c r="E10" s="94" t="s">
        <v>593</v>
      </c>
    </row>
    <row r="11" spans="1:24" ht="15.75" thickBot="1" x14ac:dyDescent="0.25">
      <c r="A11" s="101">
        <v>1</v>
      </c>
      <c r="B11" s="102">
        <v>2</v>
      </c>
      <c r="C11" s="103">
        <v>3</v>
      </c>
      <c r="D11" s="95">
        <v>4</v>
      </c>
      <c r="E11" s="95">
        <v>5</v>
      </c>
      <c r="F11" s="19"/>
      <c r="G11" s="19"/>
      <c r="H11" s="19"/>
      <c r="I11" s="19"/>
      <c r="J11" s="19"/>
      <c r="K11" s="19"/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</row>
    <row r="12" spans="1:24" s="105" customFormat="1" ht="14.25" hidden="1" x14ac:dyDescent="0.2">
      <c r="A12" s="104"/>
      <c r="C12" s="106"/>
      <c r="D12" s="19"/>
      <c r="E12" s="107" t="e">
        <f t="shared" ref="E12:E43" si="0">+D12/C12*100</f>
        <v>#DIV/0!</v>
      </c>
      <c r="F12" s="19"/>
      <c r="G12" s="19"/>
      <c r="H12" s="19"/>
      <c r="I12" s="19"/>
      <c r="J12" s="19"/>
      <c r="K12" s="19"/>
      <c r="L12" s="19"/>
      <c r="M12" s="19"/>
      <c r="N12" s="19"/>
      <c r="O12" s="19"/>
      <c r="P12" s="19"/>
      <c r="Q12" s="19"/>
      <c r="R12" s="19"/>
      <c r="S12" s="19"/>
      <c r="T12" s="19"/>
      <c r="U12" s="19"/>
      <c r="V12" s="19"/>
      <c r="W12" s="19"/>
      <c r="X12" s="19"/>
    </row>
    <row r="13" spans="1:24" s="105" customFormat="1" ht="14.25" x14ac:dyDescent="0.2">
      <c r="A13" s="108" t="s">
        <v>129</v>
      </c>
      <c r="B13" s="109" t="s">
        <v>130</v>
      </c>
      <c r="C13" s="172">
        <f>C14+C15+C20+C24+C29+C30+C33+C36+C39+C41+C42</f>
        <v>34661</v>
      </c>
      <c r="D13" s="172">
        <f>D14+D15+D20+D24+D29+D30+D33+D36+D39+D41+D42</f>
        <v>8334.8485700000001</v>
      </c>
      <c r="E13" s="107">
        <f t="shared" si="0"/>
        <v>24.0467631343585</v>
      </c>
      <c r="F13" s="19"/>
      <c r="G13" s="19"/>
      <c r="H13" s="19"/>
      <c r="I13" s="19"/>
      <c r="J13" s="19"/>
      <c r="K13" s="19"/>
      <c r="L13" s="19"/>
      <c r="M13" s="19"/>
      <c r="N13" s="19"/>
      <c r="O13" s="19"/>
      <c r="P13" s="19"/>
      <c r="Q13" s="19"/>
      <c r="R13" s="19"/>
      <c r="S13" s="19"/>
      <c r="T13" s="19"/>
      <c r="U13" s="19"/>
      <c r="V13" s="19"/>
      <c r="W13" s="19"/>
      <c r="X13" s="19"/>
    </row>
    <row r="14" spans="1:24" s="105" customFormat="1" ht="14.25" x14ac:dyDescent="0.2">
      <c r="A14" s="108" t="s">
        <v>187</v>
      </c>
      <c r="B14" s="109" t="s">
        <v>188</v>
      </c>
      <c r="C14" s="172">
        <v>27473</v>
      </c>
      <c r="D14" s="172">
        <f>6477.21192+16.52788+3.6274-2.73456+0.31099+8.2488+0.6108</f>
        <v>6503.8032300000004</v>
      </c>
      <c r="E14" s="107">
        <f t="shared" si="0"/>
        <v>23.673436574090928</v>
      </c>
      <c r="F14" s="19"/>
      <c r="G14" s="19"/>
      <c r="H14" s="19"/>
      <c r="I14" s="19"/>
      <c r="J14" s="19"/>
      <c r="K14" s="19"/>
      <c r="L14" s="19"/>
      <c r="M14" s="19"/>
      <c r="N14" s="19"/>
      <c r="O14" s="19"/>
      <c r="P14" s="19"/>
      <c r="Q14" s="19"/>
      <c r="R14" s="19"/>
      <c r="S14" s="19"/>
      <c r="T14" s="19"/>
      <c r="U14" s="19"/>
      <c r="V14" s="19"/>
      <c r="W14" s="19"/>
      <c r="X14" s="19"/>
    </row>
    <row r="15" spans="1:24" s="105" customFormat="1" ht="32.25" customHeight="1" x14ac:dyDescent="0.2">
      <c r="A15" s="108" t="s">
        <v>131</v>
      </c>
      <c r="B15" s="109" t="s">
        <v>189</v>
      </c>
      <c r="C15" s="172">
        <f>C17+C16+C18+C19</f>
        <v>1076</v>
      </c>
      <c r="D15" s="172">
        <f>D17+D16+D18+D19</f>
        <v>234.20954000000003</v>
      </c>
      <c r="E15" s="107">
        <f t="shared" si="0"/>
        <v>21.766685873605951</v>
      </c>
      <c r="F15" s="19"/>
      <c r="G15" s="19"/>
      <c r="H15" s="19"/>
      <c r="I15" s="19"/>
      <c r="J15" s="19"/>
      <c r="K15" s="19"/>
      <c r="L15" s="19"/>
      <c r="M15" s="19"/>
      <c r="N15" s="19"/>
      <c r="O15" s="19"/>
      <c r="P15" s="19"/>
      <c r="Q15" s="19"/>
      <c r="R15" s="19"/>
      <c r="S15" s="19"/>
      <c r="T15" s="19"/>
      <c r="U15" s="19"/>
      <c r="V15" s="19"/>
      <c r="W15" s="19"/>
      <c r="X15" s="19"/>
    </row>
    <row r="16" spans="1:24" s="105" customFormat="1" ht="29.25" customHeight="1" x14ac:dyDescent="0.2">
      <c r="A16" s="110" t="s">
        <v>190</v>
      </c>
      <c r="B16" s="111" t="s">
        <v>191</v>
      </c>
      <c r="C16" s="173">
        <v>1076</v>
      </c>
      <c r="D16" s="173">
        <v>106.28906000000001</v>
      </c>
      <c r="E16" s="107">
        <f t="shared" si="0"/>
        <v>9.8781654275092947</v>
      </c>
      <c r="F16" s="19"/>
      <c r="G16" s="19"/>
      <c r="H16" s="19"/>
      <c r="I16" s="19"/>
      <c r="J16" s="19"/>
      <c r="K16" s="19"/>
      <c r="L16" s="19"/>
      <c r="M16" s="19"/>
      <c r="N16" s="19"/>
      <c r="O16" s="19"/>
      <c r="P16" s="19"/>
      <c r="Q16" s="19"/>
      <c r="R16" s="19"/>
      <c r="S16" s="19"/>
      <c r="T16" s="19"/>
      <c r="U16" s="19"/>
      <c r="V16" s="19"/>
      <c r="W16" s="19"/>
      <c r="X16" s="19"/>
    </row>
    <row r="17" spans="1:24" s="105" customFormat="1" ht="75" x14ac:dyDescent="0.2">
      <c r="A17" s="110" t="s">
        <v>192</v>
      </c>
      <c r="B17" s="111" t="s">
        <v>193</v>
      </c>
      <c r="C17" s="173"/>
      <c r="D17" s="173">
        <v>0.69289000000000001</v>
      </c>
      <c r="E17" s="107" t="e">
        <f t="shared" si="0"/>
        <v>#DIV/0!</v>
      </c>
      <c r="F17" s="19"/>
      <c r="G17" s="19"/>
      <c r="H17" s="19"/>
      <c r="I17" s="19"/>
      <c r="J17" s="19"/>
      <c r="K17" s="19"/>
      <c r="L17" s="19"/>
      <c r="M17" s="19"/>
      <c r="N17" s="19"/>
      <c r="O17" s="19"/>
      <c r="P17" s="19"/>
      <c r="Q17" s="19"/>
      <c r="R17" s="19"/>
      <c r="S17" s="19"/>
      <c r="T17" s="19"/>
      <c r="U17" s="19"/>
      <c r="V17" s="19"/>
      <c r="W17" s="19"/>
      <c r="X17" s="19"/>
    </row>
    <row r="18" spans="1:24" s="105" customFormat="1" ht="60" x14ac:dyDescent="0.2">
      <c r="A18" s="110" t="s">
        <v>194</v>
      </c>
      <c r="B18" s="111" t="s">
        <v>195</v>
      </c>
      <c r="C18" s="173"/>
      <c r="D18" s="173">
        <v>149.18235000000001</v>
      </c>
      <c r="E18" s="107" t="e">
        <f t="shared" si="0"/>
        <v>#DIV/0!</v>
      </c>
      <c r="F18" s="19"/>
      <c r="G18" s="19"/>
      <c r="H18" s="19"/>
      <c r="I18" s="19"/>
      <c r="J18" s="19"/>
      <c r="K18" s="19"/>
      <c r="L18" s="19"/>
      <c r="M18" s="19"/>
      <c r="N18" s="19"/>
      <c r="O18" s="19"/>
      <c r="P18" s="19"/>
      <c r="Q18" s="19"/>
      <c r="R18" s="19"/>
      <c r="S18" s="19"/>
      <c r="T18" s="19"/>
      <c r="U18" s="19"/>
      <c r="V18" s="19"/>
      <c r="W18" s="19"/>
      <c r="X18" s="19"/>
    </row>
    <row r="19" spans="1:24" s="105" customFormat="1" ht="60" x14ac:dyDescent="0.2">
      <c r="A19" s="110" t="s">
        <v>196</v>
      </c>
      <c r="B19" s="111" t="s">
        <v>197</v>
      </c>
      <c r="C19" s="173"/>
      <c r="D19" s="173">
        <v>-21.95476</v>
      </c>
      <c r="E19" s="107" t="e">
        <f t="shared" si="0"/>
        <v>#DIV/0!</v>
      </c>
      <c r="F19" s="19"/>
      <c r="G19" s="19"/>
      <c r="H19" s="19"/>
      <c r="I19" s="19"/>
      <c r="J19" s="19"/>
      <c r="K19" s="19"/>
      <c r="L19" s="19"/>
      <c r="M19" s="19"/>
      <c r="N19" s="19"/>
      <c r="O19" s="19"/>
      <c r="P19" s="19"/>
      <c r="Q19" s="19"/>
      <c r="R19" s="19"/>
      <c r="S19" s="19"/>
      <c r="T19" s="19"/>
      <c r="U19" s="19"/>
      <c r="V19" s="19"/>
      <c r="W19" s="19"/>
      <c r="X19" s="19"/>
    </row>
    <row r="20" spans="1:24" s="105" customFormat="1" ht="14.25" x14ac:dyDescent="0.2">
      <c r="A20" s="108" t="s">
        <v>198</v>
      </c>
      <c r="B20" s="109" t="s">
        <v>132</v>
      </c>
      <c r="C20" s="172">
        <f>C21+C22+C23</f>
        <v>1322</v>
      </c>
      <c r="D20" s="172">
        <f>D21+D22+D23</f>
        <v>294.82947999999993</v>
      </c>
      <c r="E20" s="107">
        <f t="shared" si="0"/>
        <v>22.301776096822991</v>
      </c>
      <c r="F20" s="19"/>
      <c r="G20" s="19"/>
      <c r="H20" s="19"/>
      <c r="I20" s="19"/>
      <c r="J20" s="19"/>
      <c r="K20" s="19"/>
      <c r="L20" s="19"/>
      <c r="M20" s="19"/>
      <c r="N20" s="19"/>
      <c r="O20" s="19"/>
      <c r="P20" s="19"/>
      <c r="Q20" s="19"/>
      <c r="R20" s="19"/>
      <c r="S20" s="19"/>
      <c r="T20" s="19"/>
      <c r="U20" s="19"/>
      <c r="V20" s="19"/>
      <c r="W20" s="19"/>
      <c r="X20" s="19"/>
    </row>
    <row r="21" spans="1:24" s="105" customFormat="1" x14ac:dyDescent="0.2">
      <c r="A21" s="110" t="s">
        <v>199</v>
      </c>
      <c r="B21" s="111" t="s">
        <v>133</v>
      </c>
      <c r="C21" s="172">
        <v>915</v>
      </c>
      <c r="D21" s="172">
        <f>249.998+2.61224+12.13</f>
        <v>264.74023999999997</v>
      </c>
      <c r="E21" s="107">
        <f t="shared" si="0"/>
        <v>28.933359562841527</v>
      </c>
      <c r="F21" s="19"/>
      <c r="G21" s="19"/>
      <c r="H21" s="19"/>
      <c r="I21" s="19"/>
      <c r="J21" s="19"/>
      <c r="K21" s="19"/>
      <c r="L21" s="19"/>
      <c r="M21" s="19"/>
      <c r="N21" s="19"/>
      <c r="O21" s="19"/>
      <c r="P21" s="19"/>
      <c r="Q21" s="19"/>
      <c r="R21" s="19"/>
      <c r="S21" s="19"/>
      <c r="T21" s="19"/>
      <c r="U21" s="19"/>
      <c r="V21" s="19"/>
      <c r="W21" s="19"/>
      <c r="X21" s="19"/>
    </row>
    <row r="22" spans="1:24" s="105" customFormat="1" x14ac:dyDescent="0.2">
      <c r="A22" s="110" t="s">
        <v>200</v>
      </c>
      <c r="B22" s="111" t="s">
        <v>134</v>
      </c>
      <c r="C22" s="173">
        <v>227</v>
      </c>
      <c r="D22" s="173">
        <f>-0.03429+0.04553+0.7</f>
        <v>0.71123999999999998</v>
      </c>
      <c r="E22" s="107">
        <f t="shared" si="0"/>
        <v>0.31332158590308368</v>
      </c>
      <c r="F22" s="19"/>
      <c r="G22" s="19"/>
      <c r="H22" s="19"/>
      <c r="I22" s="19"/>
      <c r="J22" s="19"/>
      <c r="K22" s="19"/>
      <c r="L22" s="19"/>
      <c r="M22" s="19"/>
      <c r="N22" s="19"/>
      <c r="O22" s="19"/>
      <c r="P22" s="19"/>
      <c r="Q22" s="19"/>
      <c r="R22" s="19"/>
      <c r="S22" s="19"/>
      <c r="T22" s="19"/>
      <c r="U22" s="19"/>
      <c r="V22" s="19"/>
      <c r="W22" s="19"/>
      <c r="X22" s="19"/>
    </row>
    <row r="23" spans="1:24" s="105" customFormat="1" ht="30" x14ac:dyDescent="0.2">
      <c r="A23" s="110" t="s">
        <v>201</v>
      </c>
      <c r="B23" s="111" t="s">
        <v>135</v>
      </c>
      <c r="C23" s="173">
        <v>180</v>
      </c>
      <c r="D23" s="173">
        <v>29.378</v>
      </c>
      <c r="E23" s="107">
        <f t="shared" si="0"/>
        <v>16.321111111111112</v>
      </c>
      <c r="F23" s="19"/>
      <c r="G23" s="19"/>
      <c r="H23" s="19"/>
      <c r="I23" s="19"/>
      <c r="J23" s="19"/>
      <c r="K23" s="19"/>
      <c r="L23" s="19"/>
      <c r="M23" s="19"/>
      <c r="N23" s="19"/>
      <c r="O23" s="19"/>
      <c r="P23" s="19"/>
      <c r="Q23" s="19"/>
      <c r="R23" s="19"/>
      <c r="S23" s="19"/>
      <c r="T23" s="19"/>
      <c r="U23" s="19"/>
      <c r="V23" s="19"/>
      <c r="W23" s="19"/>
      <c r="X23" s="19"/>
    </row>
    <row r="24" spans="1:24" s="105" customFormat="1" ht="14.25" x14ac:dyDescent="0.2">
      <c r="A24" s="108" t="s">
        <v>202</v>
      </c>
      <c r="B24" s="109" t="s">
        <v>136</v>
      </c>
      <c r="C24" s="172">
        <f>C25</f>
        <v>1600</v>
      </c>
      <c r="D24" s="172">
        <f>D25</f>
        <v>414.17053000000004</v>
      </c>
      <c r="E24" s="107">
        <f t="shared" si="0"/>
        <v>25.885658125000006</v>
      </c>
      <c r="F24" s="19"/>
      <c r="G24" s="19"/>
      <c r="H24" s="19"/>
      <c r="I24" s="19"/>
      <c r="J24" s="19"/>
      <c r="K24" s="19"/>
      <c r="L24" s="19"/>
      <c r="M24" s="19"/>
      <c r="N24" s="19"/>
      <c r="O24" s="19"/>
      <c r="P24" s="19"/>
      <c r="Q24" s="19"/>
      <c r="R24" s="19"/>
      <c r="S24" s="19"/>
      <c r="T24" s="19"/>
      <c r="U24" s="19"/>
      <c r="V24" s="19"/>
      <c r="W24" s="19"/>
      <c r="X24" s="19"/>
    </row>
    <row r="25" spans="1:24" s="105" customFormat="1" x14ac:dyDescent="0.2">
      <c r="A25" s="110" t="s">
        <v>203</v>
      </c>
      <c r="B25" s="111" t="s">
        <v>137</v>
      </c>
      <c r="C25" s="173">
        <v>1600</v>
      </c>
      <c r="D25" s="173">
        <f>414.13697+0.03356</f>
        <v>414.17053000000004</v>
      </c>
      <c r="E25" s="107">
        <f t="shared" si="0"/>
        <v>25.885658125000006</v>
      </c>
      <c r="F25" s="19"/>
      <c r="G25" s="19"/>
      <c r="H25" s="19"/>
      <c r="I25" s="19"/>
      <c r="J25" s="19"/>
      <c r="K25" s="19"/>
      <c r="L25" s="19"/>
      <c r="M25" s="19"/>
      <c r="N25" s="19"/>
    </row>
    <row r="26" spans="1:24" s="105" customFormat="1" ht="28.5" hidden="1" x14ac:dyDescent="0.2">
      <c r="A26" s="108" t="s">
        <v>204</v>
      </c>
      <c r="B26" s="109" t="s">
        <v>205</v>
      </c>
      <c r="C26" s="172">
        <f>C27+C28</f>
        <v>0</v>
      </c>
      <c r="D26" s="172">
        <f>D27+D28</f>
        <v>0</v>
      </c>
      <c r="E26" s="107" t="e">
        <f t="shared" si="0"/>
        <v>#DIV/0!</v>
      </c>
      <c r="F26" s="19"/>
      <c r="G26" s="19"/>
      <c r="H26" s="19"/>
      <c r="I26" s="19"/>
      <c r="J26" s="19"/>
      <c r="K26" s="19"/>
      <c r="L26" s="19"/>
      <c r="M26" s="19"/>
      <c r="N26" s="19"/>
    </row>
    <row r="27" spans="1:24" s="105" customFormat="1" hidden="1" x14ac:dyDescent="0.2">
      <c r="A27" s="110" t="s">
        <v>206</v>
      </c>
      <c r="B27" s="111" t="s">
        <v>207</v>
      </c>
      <c r="C27" s="173"/>
      <c r="D27" s="173"/>
      <c r="E27" s="107" t="e">
        <f t="shared" si="0"/>
        <v>#DIV/0!</v>
      </c>
      <c r="F27" s="19"/>
      <c r="G27" s="19"/>
      <c r="H27" s="19"/>
      <c r="I27" s="19"/>
      <c r="J27" s="19"/>
      <c r="K27" s="19"/>
      <c r="L27" s="19"/>
      <c r="M27" s="19"/>
      <c r="N27" s="19"/>
    </row>
    <row r="28" spans="1:24" s="105" customFormat="1" ht="30" hidden="1" x14ac:dyDescent="0.2">
      <c r="A28" s="110" t="s">
        <v>208</v>
      </c>
      <c r="B28" s="112" t="s">
        <v>209</v>
      </c>
      <c r="C28" s="173"/>
      <c r="D28" s="173"/>
      <c r="E28" s="107" t="e">
        <f t="shared" si="0"/>
        <v>#DIV/0!</v>
      </c>
      <c r="F28" s="19"/>
      <c r="G28" s="19"/>
      <c r="H28" s="19"/>
      <c r="I28" s="19"/>
      <c r="J28" s="19"/>
      <c r="K28" s="19"/>
      <c r="L28" s="19"/>
      <c r="M28" s="19"/>
      <c r="N28" s="19"/>
    </row>
    <row r="29" spans="1:24" s="105" customFormat="1" x14ac:dyDescent="0.2">
      <c r="A29" s="108" t="s">
        <v>210</v>
      </c>
      <c r="B29" s="113" t="s">
        <v>138</v>
      </c>
      <c r="C29" s="173">
        <v>900</v>
      </c>
      <c r="D29" s="173">
        <v>231.07193000000001</v>
      </c>
      <c r="E29" s="107">
        <f t="shared" si="0"/>
        <v>25.674658888888892</v>
      </c>
      <c r="F29" s="19"/>
      <c r="G29" s="19"/>
      <c r="H29" s="19"/>
      <c r="I29" s="19"/>
      <c r="J29" s="19"/>
      <c r="K29" s="19"/>
      <c r="L29" s="19"/>
      <c r="M29" s="19"/>
      <c r="N29" s="19"/>
    </row>
    <row r="30" spans="1:24" s="105" customFormat="1" ht="42.75" x14ac:dyDescent="0.2">
      <c r="A30" s="108" t="s">
        <v>211</v>
      </c>
      <c r="B30" s="113" t="s">
        <v>139</v>
      </c>
      <c r="C30" s="172">
        <f>C31+C32</f>
        <v>1050</v>
      </c>
      <c r="D30" s="172">
        <f>D31+D32</f>
        <v>176.53818000000001</v>
      </c>
      <c r="E30" s="107">
        <f t="shared" si="0"/>
        <v>16.813160000000003</v>
      </c>
      <c r="F30" s="19"/>
      <c r="G30" s="19"/>
      <c r="H30" s="19"/>
      <c r="I30" s="19"/>
      <c r="J30" s="19"/>
      <c r="K30" s="19"/>
      <c r="L30" s="19"/>
      <c r="M30" s="19"/>
      <c r="N30" s="19"/>
    </row>
    <row r="31" spans="1:24" s="105" customFormat="1" ht="75" x14ac:dyDescent="0.2">
      <c r="A31" s="110" t="s">
        <v>307</v>
      </c>
      <c r="B31" s="112" t="s">
        <v>305</v>
      </c>
      <c r="C31" s="174">
        <v>450</v>
      </c>
      <c r="D31" s="174">
        <v>108.23994</v>
      </c>
      <c r="E31" s="107">
        <f t="shared" si="0"/>
        <v>24.053319999999999</v>
      </c>
      <c r="F31" s="19"/>
      <c r="G31" s="19"/>
      <c r="H31" s="19"/>
      <c r="I31" s="19"/>
      <c r="J31" s="19"/>
      <c r="K31" s="19"/>
      <c r="L31" s="19"/>
      <c r="M31" s="19"/>
      <c r="N31" s="19"/>
    </row>
    <row r="32" spans="1:24" s="105" customFormat="1" ht="60" x14ac:dyDescent="0.2">
      <c r="A32" s="114" t="s">
        <v>308</v>
      </c>
      <c r="B32" s="112" t="s">
        <v>306</v>
      </c>
      <c r="C32" s="175">
        <v>600</v>
      </c>
      <c r="D32" s="175">
        <v>68.298240000000007</v>
      </c>
      <c r="E32" s="107">
        <f t="shared" si="0"/>
        <v>11.383040000000001</v>
      </c>
      <c r="F32" s="19"/>
      <c r="G32" s="19"/>
      <c r="H32" s="19"/>
      <c r="I32" s="19"/>
      <c r="J32" s="19"/>
      <c r="K32" s="19"/>
      <c r="L32" s="19"/>
      <c r="M32" s="19"/>
      <c r="N32" s="19"/>
    </row>
    <row r="33" spans="1:14" s="105" customFormat="1" ht="28.5" x14ac:dyDescent="0.2">
      <c r="A33" s="108" t="s">
        <v>212</v>
      </c>
      <c r="B33" s="113" t="s">
        <v>213</v>
      </c>
      <c r="C33" s="175">
        <f>C34+C35</f>
        <v>454</v>
      </c>
      <c r="D33" s="175">
        <f>D34+D35</f>
        <v>320.88923</v>
      </c>
      <c r="E33" s="107">
        <f t="shared" si="0"/>
        <v>70.68044713656387</v>
      </c>
      <c r="F33" s="19"/>
      <c r="G33" s="19"/>
      <c r="H33" s="19"/>
      <c r="I33" s="19"/>
      <c r="J33" s="19"/>
      <c r="K33" s="19"/>
      <c r="L33" s="19"/>
      <c r="M33" s="19"/>
      <c r="N33" s="19"/>
    </row>
    <row r="34" spans="1:14" s="105" customFormat="1" ht="30" x14ac:dyDescent="0.2">
      <c r="A34" s="110" t="s">
        <v>214</v>
      </c>
      <c r="B34" s="112" t="s">
        <v>215</v>
      </c>
      <c r="C34" s="175">
        <v>454</v>
      </c>
      <c r="D34" s="175">
        <f>208.15891+112.73032</f>
        <v>320.88923</v>
      </c>
      <c r="E34" s="107">
        <f t="shared" si="0"/>
        <v>70.68044713656387</v>
      </c>
      <c r="F34" s="19"/>
      <c r="G34" s="19"/>
      <c r="H34" s="19"/>
      <c r="I34" s="19"/>
      <c r="J34" s="19"/>
      <c r="K34" s="19"/>
      <c r="L34" s="19"/>
      <c r="M34" s="19"/>
      <c r="N34" s="19"/>
    </row>
    <row r="35" spans="1:14" s="105" customFormat="1" hidden="1" x14ac:dyDescent="0.2">
      <c r="A35" s="110" t="s">
        <v>216</v>
      </c>
      <c r="B35" s="112" t="s">
        <v>217</v>
      </c>
      <c r="C35" s="175"/>
      <c r="D35" s="175"/>
      <c r="E35" s="107" t="e">
        <f t="shared" si="0"/>
        <v>#DIV/0!</v>
      </c>
      <c r="F35" s="19"/>
      <c r="G35" s="19"/>
      <c r="H35" s="19"/>
      <c r="I35" s="19"/>
      <c r="J35" s="19"/>
      <c r="K35" s="19"/>
      <c r="L35" s="19"/>
      <c r="M35" s="19"/>
      <c r="N35" s="19"/>
    </row>
    <row r="36" spans="1:14" s="105" customFormat="1" ht="28.5" x14ac:dyDescent="0.2">
      <c r="A36" s="108" t="s">
        <v>218</v>
      </c>
      <c r="B36" s="113" t="s">
        <v>219</v>
      </c>
      <c r="C36" s="175">
        <f>C37+C38</f>
        <v>65</v>
      </c>
      <c r="D36" s="175">
        <f>D37+D38</f>
        <v>74</v>
      </c>
      <c r="E36" s="107">
        <f t="shared" si="0"/>
        <v>113.84615384615384</v>
      </c>
      <c r="F36" s="19"/>
      <c r="G36" s="19"/>
      <c r="H36" s="19"/>
      <c r="I36" s="19"/>
      <c r="J36" s="19"/>
      <c r="K36" s="19"/>
      <c r="L36" s="19"/>
      <c r="M36" s="19"/>
      <c r="N36" s="19"/>
    </row>
    <row r="37" spans="1:14" s="105" customFormat="1" ht="30" hidden="1" x14ac:dyDescent="0.2">
      <c r="A37" s="110" t="s">
        <v>220</v>
      </c>
      <c r="B37" s="112" t="s">
        <v>221</v>
      </c>
      <c r="C37" s="174"/>
      <c r="D37" s="174"/>
      <c r="E37" s="107" t="e">
        <f t="shared" si="0"/>
        <v>#DIV/0!</v>
      </c>
      <c r="F37" s="19"/>
      <c r="G37" s="19"/>
      <c r="H37" s="19"/>
      <c r="I37" s="19"/>
      <c r="J37" s="19"/>
      <c r="K37" s="19"/>
      <c r="L37" s="19"/>
      <c r="M37" s="19"/>
      <c r="N37" s="19"/>
    </row>
    <row r="38" spans="1:14" s="105" customFormat="1" ht="30" x14ac:dyDescent="0.2">
      <c r="A38" s="110" t="s">
        <v>222</v>
      </c>
      <c r="B38" s="112" t="s">
        <v>223</v>
      </c>
      <c r="C38" s="175">
        <v>65</v>
      </c>
      <c r="D38" s="175">
        <v>74</v>
      </c>
      <c r="E38" s="107">
        <f t="shared" si="0"/>
        <v>113.84615384615384</v>
      </c>
      <c r="F38" s="19"/>
      <c r="G38" s="19"/>
      <c r="H38" s="19"/>
      <c r="I38" s="19"/>
      <c r="J38" s="19"/>
      <c r="K38" s="19"/>
      <c r="L38" s="19"/>
      <c r="M38" s="19"/>
      <c r="N38" s="19"/>
    </row>
    <row r="39" spans="1:14" s="105" customFormat="1" ht="28.5" x14ac:dyDescent="0.2">
      <c r="A39" s="108" t="s">
        <v>140</v>
      </c>
      <c r="B39" s="113" t="s">
        <v>141</v>
      </c>
      <c r="C39" s="175">
        <f>C40</f>
        <v>150</v>
      </c>
      <c r="D39" s="175">
        <f>D40</f>
        <v>26.17792</v>
      </c>
      <c r="E39" s="107">
        <f t="shared" si="0"/>
        <v>17.451946666666668</v>
      </c>
      <c r="F39" s="19"/>
      <c r="G39" s="19"/>
      <c r="H39" s="19"/>
      <c r="I39" s="19"/>
      <c r="J39" s="19"/>
      <c r="K39" s="19"/>
      <c r="L39" s="19"/>
      <c r="M39" s="19"/>
      <c r="N39" s="19"/>
    </row>
    <row r="40" spans="1:14" s="105" customFormat="1" ht="30" x14ac:dyDescent="0.2">
      <c r="A40" s="114">
        <v>1.14060000000004E+16</v>
      </c>
      <c r="B40" s="112" t="s">
        <v>224</v>
      </c>
      <c r="C40" s="174">
        <v>150</v>
      </c>
      <c r="D40" s="174">
        <v>26.17792</v>
      </c>
      <c r="E40" s="107">
        <f t="shared" si="0"/>
        <v>17.451946666666668</v>
      </c>
      <c r="F40" s="19"/>
      <c r="G40" s="19"/>
      <c r="H40" s="19"/>
      <c r="I40" s="19"/>
      <c r="J40" s="19"/>
      <c r="K40" s="19"/>
      <c r="L40" s="19"/>
      <c r="M40" s="19"/>
      <c r="N40" s="19"/>
    </row>
    <row r="41" spans="1:14" s="105" customFormat="1" ht="14.25" x14ac:dyDescent="0.2">
      <c r="A41" s="108" t="s">
        <v>225</v>
      </c>
      <c r="B41" s="113" t="s">
        <v>142</v>
      </c>
      <c r="C41" s="175">
        <v>411</v>
      </c>
      <c r="D41" s="175">
        <f>3+0.8+4.72+9+3</f>
        <v>20.52</v>
      </c>
      <c r="E41" s="107">
        <f t="shared" si="0"/>
        <v>4.992700729927007</v>
      </c>
      <c r="F41" s="19"/>
      <c r="G41" s="19"/>
      <c r="H41" s="19"/>
      <c r="I41" s="19"/>
      <c r="J41" s="19"/>
      <c r="K41" s="19"/>
      <c r="L41" s="19"/>
      <c r="M41" s="19"/>
      <c r="N41" s="19"/>
    </row>
    <row r="42" spans="1:14" s="105" customFormat="1" ht="14.25" x14ac:dyDescent="0.2">
      <c r="A42" s="108" t="s">
        <v>143</v>
      </c>
      <c r="B42" s="115" t="s">
        <v>144</v>
      </c>
      <c r="C42" s="175">
        <f>C43</f>
        <v>160</v>
      </c>
      <c r="D42" s="175">
        <f>D43</f>
        <v>38.638530000000003</v>
      </c>
      <c r="E42" s="107">
        <f t="shared" si="0"/>
        <v>24.149081250000002</v>
      </c>
      <c r="F42" s="19"/>
      <c r="G42" s="19"/>
      <c r="H42" s="19"/>
      <c r="I42" s="19"/>
      <c r="J42" s="19"/>
      <c r="K42" s="19"/>
      <c r="L42" s="19"/>
      <c r="M42" s="19"/>
      <c r="N42" s="19"/>
    </row>
    <row r="43" spans="1:14" s="105" customFormat="1" x14ac:dyDescent="0.2">
      <c r="A43" s="110" t="s">
        <v>226</v>
      </c>
      <c r="B43" s="116" t="s">
        <v>227</v>
      </c>
      <c r="C43" s="175">
        <v>160</v>
      </c>
      <c r="D43" s="176">
        <v>38.638530000000003</v>
      </c>
      <c r="E43" s="107">
        <f t="shared" si="0"/>
        <v>24.149081250000002</v>
      </c>
      <c r="F43" s="19"/>
      <c r="G43" s="19"/>
      <c r="H43" s="19"/>
      <c r="I43" s="19"/>
      <c r="J43" s="19"/>
      <c r="K43" s="19"/>
      <c r="L43" s="19"/>
      <c r="M43" s="19"/>
      <c r="N43" s="19"/>
    </row>
    <row r="44" spans="1:14" s="118" customFormat="1" ht="14.25" x14ac:dyDescent="0.2">
      <c r="A44" s="108" t="s">
        <v>228</v>
      </c>
      <c r="B44" s="117" t="s">
        <v>145</v>
      </c>
      <c r="C44" s="177">
        <f>C45</f>
        <v>491826.91579999996</v>
      </c>
      <c r="D44" s="177">
        <f>D45</f>
        <v>127977.88427000001</v>
      </c>
      <c r="E44" s="107">
        <f>+D44/C44*100</f>
        <v>26.020919180853021</v>
      </c>
      <c r="F44" s="19"/>
      <c r="G44" s="19"/>
      <c r="H44" s="19"/>
      <c r="I44" s="19"/>
      <c r="J44" s="19"/>
      <c r="K44" s="19"/>
      <c r="L44" s="19"/>
      <c r="M44" s="19"/>
      <c r="N44" s="19"/>
    </row>
    <row r="45" spans="1:14" s="119" customFormat="1" ht="30" x14ac:dyDescent="0.2">
      <c r="A45" s="110" t="s">
        <v>229</v>
      </c>
      <c r="B45" s="40" t="s">
        <v>230</v>
      </c>
      <c r="C45" s="178">
        <f>C46+C49+C66+C90</f>
        <v>491826.91579999996</v>
      </c>
      <c r="D45" s="178">
        <f>D46+D49+D66+D90+D93</f>
        <v>127977.88427000001</v>
      </c>
      <c r="E45" s="107">
        <f t="shared" ref="E45:E94" si="1">+D45/C45*100</f>
        <v>26.020919180853021</v>
      </c>
      <c r="F45" s="19"/>
      <c r="G45" s="19"/>
      <c r="H45" s="19"/>
      <c r="I45" s="19"/>
      <c r="J45" s="19"/>
      <c r="K45" s="19"/>
      <c r="L45" s="19"/>
      <c r="M45" s="19"/>
      <c r="N45" s="19"/>
    </row>
    <row r="46" spans="1:14" s="122" customFormat="1" ht="28.5" customHeight="1" x14ac:dyDescent="0.2">
      <c r="A46" s="120" t="s">
        <v>231</v>
      </c>
      <c r="B46" s="121" t="s">
        <v>232</v>
      </c>
      <c r="C46" s="177">
        <f>C47+C48</f>
        <v>159016.4</v>
      </c>
      <c r="D46" s="177">
        <f>D47+D48</f>
        <v>42702.733999999997</v>
      </c>
      <c r="E46" s="107">
        <f t="shared" si="1"/>
        <v>26.854295531781624</v>
      </c>
      <c r="F46" s="55">
        <f>C46-E46</f>
        <v>158989.54570446821</v>
      </c>
      <c r="G46" s="19"/>
      <c r="H46" s="19"/>
      <c r="I46" s="19"/>
      <c r="J46" s="19"/>
      <c r="K46" s="19"/>
      <c r="L46" s="19"/>
      <c r="M46" s="19"/>
      <c r="N46" s="19"/>
    </row>
    <row r="47" spans="1:14" s="119" customFormat="1" ht="30" x14ac:dyDescent="0.2">
      <c r="A47" s="110" t="s">
        <v>233</v>
      </c>
      <c r="B47" s="40" t="s">
        <v>146</v>
      </c>
      <c r="C47" s="178">
        <v>148976.5</v>
      </c>
      <c r="D47" s="178">
        <v>40083.733999999997</v>
      </c>
      <c r="E47" s="107">
        <f t="shared" si="1"/>
        <v>26.906078475464252</v>
      </c>
      <c r="F47" s="19">
        <f>E47-C47</f>
        <v>-148949.59392152453</v>
      </c>
      <c r="G47" s="19"/>
      <c r="H47" s="19"/>
      <c r="I47" s="19"/>
      <c r="J47" s="19"/>
      <c r="K47" s="19"/>
      <c r="L47" s="19"/>
      <c r="M47" s="19"/>
      <c r="N47" s="19"/>
    </row>
    <row r="48" spans="1:14" s="119" customFormat="1" ht="30" x14ac:dyDescent="0.2">
      <c r="A48" s="110" t="s">
        <v>234</v>
      </c>
      <c r="B48" s="40" t="s">
        <v>235</v>
      </c>
      <c r="C48" s="178">
        <v>10039.9</v>
      </c>
      <c r="D48" s="178">
        <v>2619</v>
      </c>
      <c r="E48" s="107">
        <f t="shared" si="1"/>
        <v>26.085917190410264</v>
      </c>
      <c r="F48" s="19"/>
      <c r="G48" s="19"/>
      <c r="H48" s="19"/>
      <c r="I48" s="19"/>
      <c r="J48" s="19"/>
      <c r="K48" s="19"/>
      <c r="L48" s="19"/>
      <c r="M48" s="19"/>
      <c r="N48" s="19"/>
    </row>
    <row r="49" spans="1:14" s="122" customFormat="1" ht="38.25" customHeight="1" x14ac:dyDescent="0.2">
      <c r="A49" s="120" t="s">
        <v>236</v>
      </c>
      <c r="B49" s="121" t="s">
        <v>157</v>
      </c>
      <c r="C49" s="177">
        <f>SUM(C50:C57)</f>
        <v>27429.015799999997</v>
      </c>
      <c r="D49" s="177">
        <f>SUM(D50:D57)</f>
        <v>3540</v>
      </c>
      <c r="E49" s="107">
        <f t="shared" si="1"/>
        <v>12.906040908693489</v>
      </c>
      <c r="F49" s="19"/>
      <c r="G49" s="19"/>
      <c r="H49" s="19"/>
      <c r="I49" s="19"/>
      <c r="J49" s="19"/>
      <c r="K49" s="19"/>
      <c r="L49" s="19"/>
      <c r="M49" s="19"/>
      <c r="N49" s="19"/>
    </row>
    <row r="50" spans="1:14" s="122" customFormat="1" ht="60.75" customHeight="1" x14ac:dyDescent="0.2">
      <c r="A50" s="123" t="s">
        <v>252</v>
      </c>
      <c r="B50" s="124" t="s">
        <v>147</v>
      </c>
      <c r="C50" s="178">
        <v>6280.8</v>
      </c>
      <c r="D50" s="178"/>
      <c r="E50" s="107">
        <f t="shared" si="1"/>
        <v>0</v>
      </c>
      <c r="F50" s="19"/>
      <c r="G50" s="19"/>
      <c r="H50" s="19"/>
      <c r="I50" s="19"/>
      <c r="J50" s="19"/>
      <c r="K50" s="19"/>
      <c r="L50" s="19"/>
      <c r="M50" s="19"/>
      <c r="N50" s="19"/>
    </row>
    <row r="51" spans="1:14" s="122" customFormat="1" ht="78" customHeight="1" x14ac:dyDescent="0.2">
      <c r="A51" s="123" t="s">
        <v>252</v>
      </c>
      <c r="B51" s="124" t="s">
        <v>111</v>
      </c>
      <c r="C51" s="178">
        <v>11086.7</v>
      </c>
      <c r="D51" s="178">
        <v>3540</v>
      </c>
      <c r="E51" s="107">
        <f t="shared" si="1"/>
        <v>31.930150540738001</v>
      </c>
      <c r="F51" s="19"/>
      <c r="G51" s="19"/>
      <c r="H51" s="19"/>
      <c r="I51" s="19"/>
      <c r="J51" s="19"/>
      <c r="K51" s="19"/>
      <c r="L51" s="19"/>
      <c r="M51" s="19"/>
      <c r="N51" s="19"/>
    </row>
    <row r="52" spans="1:14" s="122" customFormat="1" ht="60" x14ac:dyDescent="0.2">
      <c r="A52" s="110" t="s">
        <v>537</v>
      </c>
      <c r="B52" s="125" t="s">
        <v>538</v>
      </c>
      <c r="C52" s="178">
        <v>1030</v>
      </c>
      <c r="D52" s="178"/>
      <c r="E52" s="107">
        <f t="shared" si="1"/>
        <v>0</v>
      </c>
      <c r="F52" s="19"/>
      <c r="G52" s="19"/>
      <c r="H52" s="19"/>
      <c r="I52" s="19"/>
      <c r="J52" s="19"/>
      <c r="K52" s="19"/>
      <c r="L52" s="19"/>
      <c r="M52" s="19"/>
      <c r="N52" s="19"/>
    </row>
    <row r="53" spans="1:14" s="122" customFormat="1" ht="45" x14ac:dyDescent="0.2">
      <c r="A53" s="123" t="s">
        <v>237</v>
      </c>
      <c r="B53" s="124" t="s">
        <v>158</v>
      </c>
      <c r="C53" s="178">
        <v>2315.8000000000002</v>
      </c>
      <c r="D53" s="178"/>
      <c r="E53" s="107">
        <f t="shared" si="1"/>
        <v>0</v>
      </c>
      <c r="F53" s="19"/>
      <c r="G53" s="19"/>
      <c r="H53" s="19"/>
      <c r="I53" s="19"/>
      <c r="J53" s="19"/>
      <c r="K53" s="19"/>
      <c r="L53" s="19"/>
      <c r="M53" s="19"/>
      <c r="N53" s="19"/>
    </row>
    <row r="54" spans="1:14" s="122" customFormat="1" ht="30" x14ac:dyDescent="0.2">
      <c r="A54" s="110" t="s">
        <v>540</v>
      </c>
      <c r="B54" s="124" t="s">
        <v>541</v>
      </c>
      <c r="C54" s="178">
        <v>3371.3</v>
      </c>
      <c r="D54" s="178"/>
      <c r="E54" s="107">
        <f t="shared" si="1"/>
        <v>0</v>
      </c>
      <c r="F54" s="19"/>
      <c r="G54" s="19"/>
      <c r="H54" s="19"/>
      <c r="I54" s="19"/>
      <c r="J54" s="19"/>
      <c r="K54" s="19"/>
      <c r="L54" s="19"/>
      <c r="M54" s="19"/>
      <c r="N54" s="19"/>
    </row>
    <row r="55" spans="1:14" s="122" customFormat="1" ht="30" x14ac:dyDescent="0.2">
      <c r="A55" s="123" t="s">
        <v>534</v>
      </c>
      <c r="B55" s="124" t="s">
        <v>535</v>
      </c>
      <c r="C55" s="178">
        <v>2225.1</v>
      </c>
      <c r="D55" s="178"/>
      <c r="E55" s="107">
        <f t="shared" si="1"/>
        <v>0</v>
      </c>
      <c r="F55" s="19"/>
      <c r="G55" s="19"/>
      <c r="H55" s="19"/>
      <c r="I55" s="19"/>
      <c r="J55" s="19"/>
      <c r="K55" s="19"/>
      <c r="L55" s="19"/>
      <c r="M55" s="19"/>
      <c r="N55" s="19"/>
    </row>
    <row r="56" spans="1:14" s="122" customFormat="1" ht="30" x14ac:dyDescent="0.2">
      <c r="A56" s="123" t="s">
        <v>238</v>
      </c>
      <c r="B56" s="124" t="s">
        <v>542</v>
      </c>
      <c r="C56" s="178">
        <v>1113</v>
      </c>
      <c r="D56" s="178"/>
      <c r="E56" s="107">
        <f t="shared" si="1"/>
        <v>0</v>
      </c>
      <c r="F56" s="19"/>
      <c r="G56" s="19"/>
      <c r="H56" s="19"/>
      <c r="I56" s="19"/>
      <c r="J56" s="19"/>
      <c r="K56" s="19"/>
      <c r="L56" s="19"/>
      <c r="M56" s="19"/>
      <c r="N56" s="19"/>
    </row>
    <row r="57" spans="1:14" s="122" customFormat="1" ht="45.75" customHeight="1" x14ac:dyDescent="0.2">
      <c r="A57" s="123" t="s">
        <v>244</v>
      </c>
      <c r="B57" s="124" t="s">
        <v>539</v>
      </c>
      <c r="C57" s="178">
        <v>6.3158000000000003</v>
      </c>
      <c r="D57" s="178"/>
      <c r="E57" s="107">
        <f t="shared" si="1"/>
        <v>0</v>
      </c>
      <c r="F57" s="19"/>
      <c r="G57" s="19"/>
      <c r="H57" s="19"/>
      <c r="I57" s="19"/>
      <c r="J57" s="19"/>
      <c r="K57" s="19"/>
      <c r="L57" s="19"/>
      <c r="M57" s="19"/>
      <c r="N57" s="19"/>
    </row>
    <row r="58" spans="1:14" s="122" customFormat="1" ht="31.5" hidden="1" customHeight="1" x14ac:dyDescent="0.2">
      <c r="A58" s="123" t="s">
        <v>238</v>
      </c>
      <c r="B58" s="124" t="s">
        <v>239</v>
      </c>
      <c r="C58" s="178"/>
      <c r="D58" s="178"/>
      <c r="E58" s="107" t="e">
        <f t="shared" si="1"/>
        <v>#DIV/0!</v>
      </c>
      <c r="F58" s="19"/>
      <c r="G58" s="19"/>
      <c r="H58" s="19"/>
      <c r="I58" s="19"/>
      <c r="J58" s="19"/>
      <c r="K58" s="19"/>
      <c r="L58" s="19"/>
      <c r="M58" s="19"/>
      <c r="N58" s="19"/>
    </row>
    <row r="59" spans="1:14" s="122" customFormat="1" ht="45" hidden="1" x14ac:dyDescent="0.2">
      <c r="A59" s="123" t="s">
        <v>240</v>
      </c>
      <c r="B59" s="124" t="s">
        <v>241</v>
      </c>
      <c r="C59" s="178"/>
      <c r="D59" s="178"/>
      <c r="E59" s="107" t="e">
        <f t="shared" si="1"/>
        <v>#DIV/0!</v>
      </c>
      <c r="F59" s="19"/>
      <c r="G59" s="19"/>
      <c r="H59" s="19"/>
      <c r="I59" s="19"/>
      <c r="J59" s="19"/>
      <c r="K59" s="19"/>
      <c r="L59" s="19"/>
      <c r="M59" s="19"/>
      <c r="N59" s="19"/>
    </row>
    <row r="60" spans="1:14" s="122" customFormat="1" ht="45" hidden="1" x14ac:dyDescent="0.2">
      <c r="A60" s="123" t="s">
        <v>242</v>
      </c>
      <c r="B60" s="124" t="s">
        <v>243</v>
      </c>
      <c r="C60" s="178"/>
      <c r="D60" s="178"/>
      <c r="E60" s="107" t="e">
        <f t="shared" si="1"/>
        <v>#DIV/0!</v>
      </c>
      <c r="F60" s="19"/>
      <c r="G60" s="19"/>
      <c r="H60" s="19"/>
      <c r="I60" s="19"/>
      <c r="J60" s="19"/>
      <c r="K60" s="19"/>
      <c r="L60" s="19"/>
      <c r="M60" s="19"/>
      <c r="N60" s="19"/>
    </row>
    <row r="61" spans="1:14" s="122" customFormat="1" ht="30" hidden="1" x14ac:dyDescent="0.2">
      <c r="A61" s="110" t="s">
        <v>244</v>
      </c>
      <c r="B61" s="125" t="s">
        <v>245</v>
      </c>
      <c r="C61" s="178"/>
      <c r="D61" s="178"/>
      <c r="E61" s="107" t="e">
        <f t="shared" si="1"/>
        <v>#DIV/0!</v>
      </c>
      <c r="F61" s="19"/>
      <c r="G61" s="19"/>
      <c r="H61" s="19"/>
      <c r="I61" s="19"/>
      <c r="J61" s="19"/>
      <c r="K61" s="19"/>
      <c r="L61" s="19"/>
      <c r="M61" s="19"/>
      <c r="N61" s="19"/>
    </row>
    <row r="62" spans="1:14" s="122" customFormat="1" ht="45" hidden="1" x14ac:dyDescent="0.2">
      <c r="A62" s="110" t="s">
        <v>246</v>
      </c>
      <c r="B62" s="125" t="s">
        <v>247</v>
      </c>
      <c r="C62" s="178"/>
      <c r="D62" s="178"/>
      <c r="E62" s="107" t="e">
        <f t="shared" si="1"/>
        <v>#DIV/0!</v>
      </c>
      <c r="F62" s="19"/>
      <c r="G62" s="19"/>
      <c r="H62" s="19"/>
      <c r="I62" s="19"/>
      <c r="J62" s="19"/>
      <c r="K62" s="19"/>
      <c r="L62" s="19"/>
      <c r="M62" s="19"/>
      <c r="N62" s="19"/>
    </row>
    <row r="63" spans="1:14" s="122" customFormat="1" ht="30" hidden="1" x14ac:dyDescent="0.2">
      <c r="A63" s="123" t="s">
        <v>248</v>
      </c>
      <c r="B63" s="124" t="s">
        <v>249</v>
      </c>
      <c r="C63" s="178"/>
      <c r="D63" s="178"/>
      <c r="E63" s="107" t="e">
        <f t="shared" si="1"/>
        <v>#DIV/0!</v>
      </c>
      <c r="F63" s="19"/>
      <c r="G63" s="19"/>
      <c r="H63" s="19"/>
      <c r="I63" s="19"/>
      <c r="J63" s="19"/>
      <c r="K63" s="19"/>
      <c r="L63" s="19"/>
      <c r="M63" s="19"/>
      <c r="N63" s="19"/>
    </row>
    <row r="64" spans="1:14" s="122" customFormat="1" ht="30" hidden="1" customHeight="1" x14ac:dyDescent="0.2">
      <c r="A64" s="123" t="s">
        <v>250</v>
      </c>
      <c r="B64" s="124" t="s">
        <v>251</v>
      </c>
      <c r="C64" s="178"/>
      <c r="D64" s="178"/>
      <c r="E64" s="107" t="e">
        <f t="shared" si="1"/>
        <v>#DIV/0!</v>
      </c>
      <c r="F64" s="19"/>
      <c r="G64" s="19"/>
      <c r="H64" s="19"/>
      <c r="I64" s="19"/>
      <c r="J64" s="19"/>
      <c r="K64" s="19"/>
      <c r="L64" s="19"/>
      <c r="M64" s="19"/>
      <c r="N64" s="19"/>
    </row>
    <row r="65" spans="1:14" s="122" customFormat="1" ht="22.5" hidden="1" customHeight="1" x14ac:dyDescent="0.2">
      <c r="A65" s="123" t="s">
        <v>252</v>
      </c>
      <c r="B65" s="124" t="s">
        <v>253</v>
      </c>
      <c r="C65" s="178"/>
      <c r="D65" s="178"/>
      <c r="E65" s="107" t="e">
        <f t="shared" si="1"/>
        <v>#DIV/0!</v>
      </c>
      <c r="F65" s="19"/>
      <c r="G65" s="19"/>
      <c r="H65" s="19"/>
      <c r="I65" s="19"/>
      <c r="J65" s="19"/>
      <c r="K65" s="19"/>
      <c r="L65" s="19"/>
      <c r="M65" s="19"/>
      <c r="N65" s="19"/>
    </row>
    <row r="66" spans="1:14" s="122" customFormat="1" ht="30" x14ac:dyDescent="0.2">
      <c r="A66" s="120" t="s">
        <v>254</v>
      </c>
      <c r="B66" s="121" t="s">
        <v>159</v>
      </c>
      <c r="C66" s="177">
        <f>SUM(C67:C89)</f>
        <v>304321.49999999994</v>
      </c>
      <c r="D66" s="177">
        <f>SUM(D67:D89)</f>
        <v>81622.412270000015</v>
      </c>
      <c r="E66" s="107">
        <f t="shared" si="1"/>
        <v>26.821112629242439</v>
      </c>
      <c r="F66" s="19"/>
      <c r="G66" s="19"/>
      <c r="H66" s="19"/>
      <c r="I66" s="19"/>
      <c r="J66" s="19"/>
      <c r="K66" s="19"/>
      <c r="L66" s="19"/>
      <c r="M66" s="19"/>
      <c r="N66" s="19"/>
    </row>
    <row r="67" spans="1:14" s="122" customFormat="1" ht="33.75" customHeight="1" x14ac:dyDescent="0.2">
      <c r="A67" s="110" t="s">
        <v>255</v>
      </c>
      <c r="B67" s="40" t="s">
        <v>310</v>
      </c>
      <c r="C67" s="178">
        <v>3480</v>
      </c>
      <c r="D67" s="178">
        <v>550</v>
      </c>
      <c r="E67" s="107">
        <f t="shared" si="1"/>
        <v>15.804597701149426</v>
      </c>
      <c r="F67" s="19"/>
      <c r="G67" s="19"/>
      <c r="H67" s="19"/>
      <c r="I67" s="19"/>
      <c r="J67" s="19"/>
      <c r="K67" s="19"/>
      <c r="L67" s="19"/>
      <c r="M67" s="19"/>
      <c r="N67" s="19"/>
    </row>
    <row r="68" spans="1:14" s="122" customFormat="1" ht="165" x14ac:dyDescent="0.2">
      <c r="A68" s="110" t="s">
        <v>288</v>
      </c>
      <c r="B68" s="40" t="s">
        <v>289</v>
      </c>
      <c r="C68" s="178">
        <v>240340.4</v>
      </c>
      <c r="D68" s="178">
        <v>66488.327000000005</v>
      </c>
      <c r="E68" s="107">
        <f t="shared" si="1"/>
        <v>27.664232480265493</v>
      </c>
      <c r="F68" s="137">
        <f>+D68+D70+D71+D72+D73+D74+D75+D76+D77+D84</f>
        <v>71156.288640000013</v>
      </c>
      <c r="G68" s="19"/>
      <c r="H68" s="19"/>
      <c r="I68" s="19"/>
      <c r="J68" s="19"/>
      <c r="K68" s="19"/>
      <c r="L68" s="19"/>
      <c r="M68" s="19"/>
      <c r="N68" s="19"/>
    </row>
    <row r="69" spans="1:14" s="122" customFormat="1" ht="45" x14ac:dyDescent="0.2">
      <c r="A69" s="110" t="s">
        <v>288</v>
      </c>
      <c r="B69" s="40" t="s">
        <v>290</v>
      </c>
      <c r="C69" s="178">
        <v>6</v>
      </c>
      <c r="D69" s="178"/>
      <c r="E69" s="107">
        <f t="shared" si="1"/>
        <v>0</v>
      </c>
      <c r="F69" s="19">
        <v>71156.288639999999</v>
      </c>
      <c r="G69" s="19"/>
      <c r="H69" s="19"/>
      <c r="I69" s="19"/>
      <c r="J69" s="19"/>
      <c r="K69" s="19"/>
      <c r="L69" s="19"/>
      <c r="M69" s="19"/>
      <c r="N69" s="19"/>
    </row>
    <row r="70" spans="1:14" s="122" customFormat="1" ht="30" x14ac:dyDescent="0.2">
      <c r="A70" s="110" t="s">
        <v>288</v>
      </c>
      <c r="B70" s="40" t="s">
        <v>291</v>
      </c>
      <c r="C70" s="178">
        <v>4407.8999999999996</v>
      </c>
      <c r="D70" s="178">
        <v>1081.8710000000001</v>
      </c>
      <c r="E70" s="107">
        <f t="shared" si="1"/>
        <v>24.543909798316662</v>
      </c>
      <c r="F70" s="137">
        <f>F68-F69</f>
        <v>0</v>
      </c>
      <c r="G70" s="19"/>
      <c r="H70" s="19"/>
      <c r="I70" s="19"/>
      <c r="J70" s="19"/>
      <c r="K70" s="19"/>
      <c r="L70" s="19"/>
      <c r="M70" s="19"/>
      <c r="N70" s="19"/>
    </row>
    <row r="71" spans="1:14" s="122" customFormat="1" ht="30" x14ac:dyDescent="0.2">
      <c r="A71" s="110" t="s">
        <v>288</v>
      </c>
      <c r="B71" s="40" t="s">
        <v>292</v>
      </c>
      <c r="C71" s="178">
        <v>4386</v>
      </c>
      <c r="D71" s="178">
        <v>1127.2629999999999</v>
      </c>
      <c r="E71" s="107">
        <f t="shared" si="1"/>
        <v>25.701390788873685</v>
      </c>
      <c r="F71" s="19"/>
      <c r="G71" s="19"/>
      <c r="H71" s="19"/>
      <c r="I71" s="19"/>
      <c r="J71" s="19"/>
      <c r="K71" s="19"/>
      <c r="L71" s="19"/>
      <c r="M71" s="19"/>
      <c r="N71" s="19"/>
    </row>
    <row r="72" spans="1:14" s="122" customFormat="1" ht="75" x14ac:dyDescent="0.2">
      <c r="A72" s="110" t="s">
        <v>288</v>
      </c>
      <c r="B72" s="40" t="s">
        <v>293</v>
      </c>
      <c r="C72" s="178">
        <v>5018.8999999999996</v>
      </c>
      <c r="D72" s="178">
        <v>1254.7239999999999</v>
      </c>
      <c r="E72" s="107">
        <f t="shared" si="1"/>
        <v>24.99998007531531</v>
      </c>
      <c r="F72" s="19"/>
      <c r="G72" s="19"/>
      <c r="H72" s="19"/>
      <c r="I72" s="19"/>
      <c r="J72" s="19"/>
      <c r="K72" s="19"/>
      <c r="L72" s="19"/>
      <c r="M72" s="19"/>
      <c r="N72" s="19"/>
    </row>
    <row r="73" spans="1:14" s="122" customFormat="1" ht="60" x14ac:dyDescent="0.2">
      <c r="A73" s="110" t="s">
        <v>288</v>
      </c>
      <c r="B73" s="40" t="s">
        <v>294</v>
      </c>
      <c r="C73" s="178">
        <v>431.2</v>
      </c>
      <c r="D73" s="178">
        <v>136.94999999999999</v>
      </c>
      <c r="E73" s="107">
        <f t="shared" si="1"/>
        <v>31.760204081632654</v>
      </c>
      <c r="F73" s="19"/>
      <c r="G73" s="19"/>
      <c r="H73" s="19"/>
      <c r="I73" s="19"/>
      <c r="J73" s="19"/>
      <c r="K73" s="19"/>
      <c r="L73" s="19"/>
      <c r="M73" s="19"/>
      <c r="N73" s="19"/>
    </row>
    <row r="74" spans="1:14" s="122" customFormat="1" ht="30" x14ac:dyDescent="0.2">
      <c r="A74" s="110" t="s">
        <v>288</v>
      </c>
      <c r="B74" s="40" t="s">
        <v>295</v>
      </c>
      <c r="C74" s="178">
        <v>74.5</v>
      </c>
      <c r="D74" s="178"/>
      <c r="E74" s="107">
        <f t="shared" si="1"/>
        <v>0</v>
      </c>
      <c r="F74" s="19"/>
      <c r="G74" s="19"/>
      <c r="H74" s="19"/>
      <c r="I74" s="19"/>
      <c r="J74" s="19"/>
      <c r="K74" s="19"/>
      <c r="L74" s="19"/>
      <c r="M74" s="19"/>
      <c r="N74" s="19"/>
    </row>
    <row r="75" spans="1:14" s="122" customFormat="1" ht="30" x14ac:dyDescent="0.2">
      <c r="A75" s="110" t="s">
        <v>288</v>
      </c>
      <c r="B75" s="40" t="s">
        <v>296</v>
      </c>
      <c r="C75" s="178">
        <v>463.4</v>
      </c>
      <c r="D75" s="178">
        <v>123.15900000000001</v>
      </c>
      <c r="E75" s="107">
        <f t="shared" si="1"/>
        <v>26.577255071212779</v>
      </c>
      <c r="F75" s="19"/>
      <c r="G75" s="19"/>
      <c r="H75" s="19"/>
      <c r="I75" s="19"/>
      <c r="J75" s="19"/>
      <c r="K75" s="19"/>
      <c r="L75" s="19"/>
      <c r="M75" s="19"/>
      <c r="N75" s="19"/>
    </row>
    <row r="76" spans="1:14" s="122" customFormat="1" ht="45" x14ac:dyDescent="0.2">
      <c r="A76" s="110" t="s">
        <v>288</v>
      </c>
      <c r="B76" s="40" t="s">
        <v>297</v>
      </c>
      <c r="C76" s="178">
        <v>551.1</v>
      </c>
      <c r="D76" s="178">
        <v>130.46700000000001</v>
      </c>
      <c r="E76" s="107">
        <f t="shared" si="1"/>
        <v>23.673924877517692</v>
      </c>
      <c r="F76" s="19"/>
      <c r="G76" s="19"/>
      <c r="H76" s="19"/>
      <c r="I76" s="19"/>
      <c r="J76" s="19"/>
      <c r="K76" s="19"/>
      <c r="L76" s="19"/>
      <c r="M76" s="19"/>
      <c r="N76" s="19"/>
    </row>
    <row r="77" spans="1:14" s="122" customFormat="1" ht="30" x14ac:dyDescent="0.2">
      <c r="A77" s="110" t="s">
        <v>288</v>
      </c>
      <c r="B77" s="40" t="s">
        <v>298</v>
      </c>
      <c r="C77" s="178">
        <v>106</v>
      </c>
      <c r="D77" s="178">
        <v>33.527639999999998</v>
      </c>
      <c r="E77" s="107">
        <f t="shared" si="1"/>
        <v>31.629849056603771</v>
      </c>
      <c r="F77" s="19"/>
      <c r="G77" s="19"/>
      <c r="H77" s="19"/>
      <c r="I77" s="19"/>
      <c r="J77" s="19"/>
      <c r="K77" s="19"/>
      <c r="L77" s="19"/>
      <c r="M77" s="19"/>
      <c r="N77" s="19"/>
    </row>
    <row r="78" spans="1:14" s="122" customFormat="1" ht="45" x14ac:dyDescent="0.2">
      <c r="A78" s="110" t="s">
        <v>288</v>
      </c>
      <c r="B78" s="40" t="s">
        <v>299</v>
      </c>
      <c r="C78" s="178">
        <v>1226.5999999999999</v>
      </c>
      <c r="D78" s="178"/>
      <c r="E78" s="107">
        <f t="shared" si="1"/>
        <v>0</v>
      </c>
      <c r="F78" s="19"/>
      <c r="G78" s="19"/>
      <c r="H78" s="19"/>
      <c r="I78" s="19"/>
      <c r="J78" s="19"/>
      <c r="K78" s="19"/>
      <c r="L78" s="19"/>
      <c r="M78" s="19"/>
      <c r="N78" s="19"/>
    </row>
    <row r="79" spans="1:14" s="122" customFormat="1" ht="30" x14ac:dyDescent="0.2">
      <c r="A79" s="110" t="s">
        <v>288</v>
      </c>
      <c r="B79" s="40" t="s">
        <v>300</v>
      </c>
      <c r="C79" s="178">
        <v>1793</v>
      </c>
      <c r="D79" s="178"/>
      <c r="E79" s="107">
        <f t="shared" si="1"/>
        <v>0</v>
      </c>
      <c r="F79" s="19"/>
      <c r="G79" s="19"/>
      <c r="H79" s="19"/>
      <c r="I79" s="19"/>
      <c r="J79" s="19"/>
      <c r="K79" s="19"/>
      <c r="L79" s="19"/>
      <c r="M79" s="19"/>
      <c r="N79" s="19"/>
    </row>
    <row r="80" spans="1:14" s="122" customFormat="1" x14ac:dyDescent="0.2">
      <c r="A80" s="110" t="s">
        <v>288</v>
      </c>
      <c r="B80" s="40" t="s">
        <v>543</v>
      </c>
      <c r="C80" s="178">
        <v>1230</v>
      </c>
      <c r="D80" s="178"/>
      <c r="E80" s="107">
        <f t="shared" si="1"/>
        <v>0</v>
      </c>
      <c r="F80" s="19"/>
      <c r="G80" s="19"/>
      <c r="H80" s="19"/>
      <c r="I80" s="19"/>
      <c r="J80" s="19"/>
      <c r="K80" s="19"/>
      <c r="L80" s="19"/>
      <c r="M80" s="19"/>
      <c r="N80" s="19"/>
    </row>
    <row r="81" spans="1:14" s="122" customFormat="1" ht="45" hidden="1" x14ac:dyDescent="0.2">
      <c r="A81" s="110" t="s">
        <v>256</v>
      </c>
      <c r="B81" s="40" t="s">
        <v>257</v>
      </c>
      <c r="C81" s="177"/>
      <c r="D81" s="177"/>
      <c r="E81" s="107" t="e">
        <f t="shared" si="1"/>
        <v>#DIV/0!</v>
      </c>
      <c r="F81" s="19"/>
      <c r="G81" s="19"/>
      <c r="H81" s="19"/>
      <c r="I81" s="19"/>
      <c r="J81" s="19"/>
      <c r="K81" s="19"/>
      <c r="L81" s="19"/>
      <c r="M81" s="19"/>
      <c r="N81" s="19"/>
    </row>
    <row r="82" spans="1:14" s="119" customFormat="1" ht="45" x14ac:dyDescent="0.2">
      <c r="A82" s="110" t="s">
        <v>258</v>
      </c>
      <c r="B82" s="40" t="s">
        <v>154</v>
      </c>
      <c r="C82" s="178">
        <v>1120.8</v>
      </c>
      <c r="D82" s="178">
        <v>280.2</v>
      </c>
      <c r="E82" s="107">
        <f t="shared" si="1"/>
        <v>25</v>
      </c>
      <c r="F82" s="19"/>
      <c r="G82" s="19"/>
      <c r="H82" s="19"/>
      <c r="I82" s="19"/>
      <c r="J82" s="19"/>
      <c r="K82" s="19"/>
      <c r="L82" s="19"/>
      <c r="M82" s="19"/>
      <c r="N82" s="19"/>
    </row>
    <row r="83" spans="1:14" s="119" customFormat="1" ht="61.5" customHeight="1" x14ac:dyDescent="0.2">
      <c r="A83" s="110" t="s">
        <v>259</v>
      </c>
      <c r="B83" s="40" t="s">
        <v>260</v>
      </c>
      <c r="C83" s="178">
        <v>18.600000000000001</v>
      </c>
      <c r="D83" s="178"/>
      <c r="E83" s="107">
        <f t="shared" si="1"/>
        <v>0</v>
      </c>
      <c r="F83" s="19"/>
      <c r="G83" s="19"/>
      <c r="H83" s="19"/>
      <c r="I83" s="19"/>
      <c r="J83" s="19"/>
      <c r="K83" s="19"/>
      <c r="L83" s="19"/>
      <c r="M83" s="19"/>
      <c r="N83" s="19"/>
    </row>
    <row r="84" spans="1:14" s="119" customFormat="1" ht="59.25" customHeight="1" x14ac:dyDescent="0.2">
      <c r="A84" s="110" t="s">
        <v>288</v>
      </c>
      <c r="B84" s="40" t="s">
        <v>261</v>
      </c>
      <c r="C84" s="178">
        <v>3701.2</v>
      </c>
      <c r="D84" s="178">
        <f>777.738+2.262</f>
        <v>780</v>
      </c>
      <c r="E84" s="107">
        <f t="shared" si="1"/>
        <v>21.074246190424727</v>
      </c>
      <c r="F84" s="19"/>
      <c r="G84" s="19"/>
      <c r="H84" s="19"/>
      <c r="I84" s="19"/>
      <c r="J84" s="19"/>
      <c r="K84" s="19"/>
      <c r="L84" s="19"/>
      <c r="M84" s="19"/>
      <c r="N84" s="19"/>
    </row>
    <row r="85" spans="1:14" s="119" customFormat="1" ht="30" x14ac:dyDescent="0.2">
      <c r="A85" s="110" t="s">
        <v>262</v>
      </c>
      <c r="B85" s="40" t="s">
        <v>153</v>
      </c>
      <c r="C85" s="178">
        <v>3055</v>
      </c>
      <c r="D85" s="178">
        <v>1536.45</v>
      </c>
      <c r="E85" s="107">
        <f t="shared" si="1"/>
        <v>50.292962356792145</v>
      </c>
      <c r="F85" s="19"/>
      <c r="G85" s="19"/>
      <c r="H85" s="19"/>
      <c r="I85" s="19"/>
      <c r="J85" s="19"/>
      <c r="K85" s="19"/>
      <c r="L85" s="19"/>
      <c r="M85" s="19"/>
      <c r="N85" s="19"/>
    </row>
    <row r="86" spans="1:14" s="119" customFormat="1" ht="90" x14ac:dyDescent="0.2">
      <c r="A86" s="110" t="s">
        <v>263</v>
      </c>
      <c r="B86" s="40" t="s">
        <v>264</v>
      </c>
      <c r="C86" s="178">
        <v>20252.8</v>
      </c>
      <c r="D86" s="178">
        <v>4723.7523700000002</v>
      </c>
      <c r="E86" s="107">
        <f t="shared" si="1"/>
        <v>23.323947157923843</v>
      </c>
    </row>
    <row r="87" spans="1:14" s="119" customFormat="1" ht="45" hidden="1" x14ac:dyDescent="0.2">
      <c r="A87" s="110" t="s">
        <v>265</v>
      </c>
      <c r="B87" s="40" t="s">
        <v>266</v>
      </c>
      <c r="C87" s="178"/>
      <c r="D87" s="178"/>
      <c r="E87" s="107" t="e">
        <f t="shared" si="1"/>
        <v>#DIV/0!</v>
      </c>
    </row>
    <row r="88" spans="1:14" s="119" customFormat="1" ht="60" x14ac:dyDescent="0.2">
      <c r="A88" s="110" t="s">
        <v>595</v>
      </c>
      <c r="B88" s="135" t="s">
        <v>596</v>
      </c>
      <c r="C88" s="178"/>
      <c r="D88" s="178">
        <v>184.80426</v>
      </c>
      <c r="E88" s="107" t="e">
        <f t="shared" si="1"/>
        <v>#DIV/0!</v>
      </c>
    </row>
    <row r="89" spans="1:14" s="119" customFormat="1" ht="47.25" customHeight="1" x14ac:dyDescent="0.2">
      <c r="A89" s="110" t="s">
        <v>267</v>
      </c>
      <c r="B89" s="40" t="s">
        <v>536</v>
      </c>
      <c r="C89" s="178">
        <v>12658.1</v>
      </c>
      <c r="D89" s="178">
        <v>3190.9169999999999</v>
      </c>
      <c r="E89" s="107">
        <f t="shared" si="1"/>
        <v>25.208498905838951</v>
      </c>
      <c r="F89" s="119">
        <f>143973.1+577029.48+641381.4</f>
        <v>1362383.98</v>
      </c>
      <c r="G89" s="119">
        <f>20327063.37-356100-394583.47-446867.48</f>
        <v>19129512.420000002</v>
      </c>
      <c r="H89" s="119">
        <f>10194894.03+209000</f>
        <v>10403894.029999999</v>
      </c>
      <c r="I89" s="119">
        <f>356100+18600+463400+551100+2225100+1113000+3371300+1000</f>
        <v>8099600</v>
      </c>
      <c r="K89" s="119">
        <f>+F89+G89+H89+I89</f>
        <v>38995390.43</v>
      </c>
    </row>
    <row r="90" spans="1:14" s="122" customFormat="1" ht="25.5" customHeight="1" x14ac:dyDescent="0.2">
      <c r="A90" s="120" t="s">
        <v>268</v>
      </c>
      <c r="B90" s="126" t="s">
        <v>160</v>
      </c>
      <c r="C90" s="177">
        <f>C91</f>
        <v>1060</v>
      </c>
      <c r="D90" s="177">
        <f>D91</f>
        <v>115</v>
      </c>
      <c r="E90" s="107">
        <f t="shared" si="1"/>
        <v>10.849056603773585</v>
      </c>
      <c r="K90" s="122">
        <v>37797239.439999998</v>
      </c>
    </row>
    <row r="91" spans="1:14" s="122" customFormat="1" ht="60" x14ac:dyDescent="0.2">
      <c r="A91" s="123" t="s">
        <v>269</v>
      </c>
      <c r="B91" s="127" t="s">
        <v>148</v>
      </c>
      <c r="C91" s="179">
        <v>1060</v>
      </c>
      <c r="D91" s="179">
        <v>115</v>
      </c>
      <c r="E91" s="107">
        <f t="shared" si="1"/>
        <v>10.849056603773585</v>
      </c>
      <c r="K91" s="122">
        <f>K89-K90</f>
        <v>1198150.9900000021</v>
      </c>
    </row>
    <row r="92" spans="1:14" s="122" customFormat="1" ht="30" hidden="1" x14ac:dyDescent="0.2">
      <c r="A92" s="123" t="s">
        <v>270</v>
      </c>
      <c r="B92" s="127" t="s">
        <v>271</v>
      </c>
      <c r="C92" s="178"/>
      <c r="D92" s="178"/>
      <c r="E92" s="107" t="e">
        <f t="shared" si="1"/>
        <v>#DIV/0!</v>
      </c>
    </row>
    <row r="93" spans="1:14" s="122" customFormat="1" ht="45" x14ac:dyDescent="0.2">
      <c r="A93" s="123" t="s">
        <v>597</v>
      </c>
      <c r="B93" s="127" t="s">
        <v>598</v>
      </c>
      <c r="C93" s="178"/>
      <c r="D93" s="178">
        <v>-2.262</v>
      </c>
      <c r="E93" s="107"/>
    </row>
    <row r="94" spans="1:14" s="99" customFormat="1" ht="14.25" x14ac:dyDescent="0.2">
      <c r="A94" s="128"/>
      <c r="B94" s="129" t="s">
        <v>272</v>
      </c>
      <c r="C94" s="177">
        <f>C13+C44</f>
        <v>526487.91579999996</v>
      </c>
      <c r="D94" s="177">
        <f>D13+D44</f>
        <v>136312.73284000001</v>
      </c>
      <c r="E94" s="107">
        <f t="shared" si="1"/>
        <v>25.890951862185176</v>
      </c>
    </row>
    <row r="95" spans="1:14" x14ac:dyDescent="0.2">
      <c r="B95" s="130"/>
      <c r="C95" s="131">
        <f>C94-C91</f>
        <v>525427.91579999996</v>
      </c>
      <c r="D95" s="97">
        <v>136312.73284000001</v>
      </c>
      <c r="E95" s="97">
        <v>806</v>
      </c>
      <c r="F95" s="97">
        <f>221415.25+401940+1362536.05+2289335.4+180907.63+656806.54+809909.1+621782+2139017.19+90436.5+2793483+18032+17066.63+80388+20286+67232.17</f>
        <v>11770573.460000001</v>
      </c>
      <c r="G95" s="97">
        <f>299263256.02-174715000-63650400-2506978.17</f>
        <v>58390877.849999979</v>
      </c>
      <c r="H95" s="97">
        <v>15309601.75</v>
      </c>
      <c r="I95" s="97">
        <f>1042300+240340400+3701200+1230000+2315800</f>
        <v>248629700</v>
      </c>
      <c r="K95" s="132">
        <f>+F95+G95+H95+I95</f>
        <v>334100753.05999994</v>
      </c>
    </row>
    <row r="96" spans="1:14" s="96" customFormat="1" ht="15.75" x14ac:dyDescent="0.2">
      <c r="A96" s="133" t="s">
        <v>182</v>
      </c>
      <c r="B96" s="133"/>
      <c r="C96" s="134"/>
      <c r="D96" s="136">
        <f>D94-D95</f>
        <v>0</v>
      </c>
      <c r="E96" s="134"/>
      <c r="F96" s="134"/>
      <c r="G96" s="134"/>
      <c r="H96" s="134"/>
      <c r="I96" s="134"/>
      <c r="J96" s="134"/>
      <c r="K96" s="134">
        <v>334100754.05000001</v>
      </c>
      <c r="L96" s="134"/>
      <c r="M96" s="134"/>
      <c r="N96" s="134"/>
    </row>
    <row r="97" spans="1:14" s="96" customFormat="1" ht="15.75" x14ac:dyDescent="0.2">
      <c r="A97" s="133" t="s">
        <v>183</v>
      </c>
      <c r="B97" s="41"/>
      <c r="C97" s="134"/>
      <c r="D97" s="134"/>
      <c r="E97" s="134"/>
      <c r="F97" s="134"/>
      <c r="G97" s="134"/>
      <c r="H97" s="134"/>
      <c r="I97" s="134"/>
      <c r="J97" s="134"/>
      <c r="K97" s="134">
        <f>K95-K96</f>
        <v>-0.99000006914138794</v>
      </c>
      <c r="L97" s="134"/>
      <c r="M97" s="134"/>
      <c r="N97" s="134"/>
    </row>
    <row r="98" spans="1:14" x14ac:dyDescent="0.2">
      <c r="B98" s="130"/>
    </row>
    <row r="99" spans="1:14" x14ac:dyDescent="0.2">
      <c r="B99" s="130"/>
      <c r="E99" s="97">
        <v>802</v>
      </c>
      <c r="F99" s="97">
        <f>47656+64310.4+515103.4+854122.5+24794+36719.11+110533.5+18618.13+178371.9+464936.28+799860.6</f>
        <v>3115025.82</v>
      </c>
      <c r="G99" s="97">
        <v>5676098.9500000002</v>
      </c>
      <c r="H99" s="97">
        <f>58450723.76-2442861.88</f>
        <v>56007861.879999995</v>
      </c>
      <c r="I99" s="97">
        <f>1030000+6315.8</f>
        <v>1036315.8</v>
      </c>
      <c r="J99" s="97">
        <v>381700</v>
      </c>
      <c r="K99" s="97">
        <f>F99+G99+H99+I99+J99</f>
        <v>66217002.449999988</v>
      </c>
    </row>
    <row r="100" spans="1:14" x14ac:dyDescent="0.2">
      <c r="B100" s="130"/>
      <c r="K100" s="97">
        <v>66217002.469999999</v>
      </c>
    </row>
    <row r="101" spans="1:14" x14ac:dyDescent="0.2">
      <c r="B101" s="130"/>
      <c r="K101" s="97">
        <f>K99-K100</f>
        <v>-2.000001072883606E-2</v>
      </c>
    </row>
    <row r="102" spans="1:14" x14ac:dyDescent="0.2">
      <c r="B102" s="130"/>
    </row>
    <row r="103" spans="1:14" x14ac:dyDescent="0.2">
      <c r="B103" s="130"/>
    </row>
    <row r="104" spans="1:14" x14ac:dyDescent="0.2">
      <c r="B104" s="130"/>
    </row>
    <row r="105" spans="1:14" x14ac:dyDescent="0.2">
      <c r="B105" s="130"/>
    </row>
    <row r="106" spans="1:14" x14ac:dyDescent="0.2">
      <c r="B106" s="130"/>
    </row>
    <row r="107" spans="1:14" x14ac:dyDescent="0.2">
      <c r="B107" s="130"/>
    </row>
    <row r="108" spans="1:14" x14ac:dyDescent="0.2">
      <c r="B108" s="130"/>
    </row>
    <row r="109" spans="1:14" x14ac:dyDescent="0.2">
      <c r="B109" s="130"/>
    </row>
    <row r="110" spans="1:14" x14ac:dyDescent="0.2">
      <c r="B110" s="130"/>
    </row>
    <row r="111" spans="1:14" x14ac:dyDescent="0.2">
      <c r="B111" s="130"/>
    </row>
    <row r="112" spans="1:14" x14ac:dyDescent="0.2">
      <c r="B112" s="130"/>
    </row>
    <row r="113" spans="2:2" x14ac:dyDescent="0.2">
      <c r="B113" s="130"/>
    </row>
    <row r="114" spans="2:2" x14ac:dyDescent="0.2">
      <c r="B114" s="130"/>
    </row>
    <row r="115" spans="2:2" x14ac:dyDescent="0.2">
      <c r="B115" s="130"/>
    </row>
    <row r="116" spans="2:2" x14ac:dyDescent="0.2">
      <c r="B116" s="130"/>
    </row>
    <row r="117" spans="2:2" x14ac:dyDescent="0.2">
      <c r="B117" s="130"/>
    </row>
    <row r="118" spans="2:2" x14ac:dyDescent="0.2">
      <c r="B118" s="130"/>
    </row>
    <row r="119" spans="2:2" x14ac:dyDescent="0.2">
      <c r="B119" s="130"/>
    </row>
    <row r="120" spans="2:2" x14ac:dyDescent="0.2">
      <c r="B120" s="130"/>
    </row>
    <row r="121" spans="2:2" x14ac:dyDescent="0.2">
      <c r="B121" s="130"/>
    </row>
    <row r="122" spans="2:2" x14ac:dyDescent="0.2">
      <c r="B122" s="130"/>
    </row>
    <row r="123" spans="2:2" x14ac:dyDescent="0.2">
      <c r="B123" s="130"/>
    </row>
    <row r="124" spans="2:2" x14ac:dyDescent="0.2">
      <c r="B124" s="130"/>
    </row>
    <row r="125" spans="2:2" x14ac:dyDescent="0.2">
      <c r="B125" s="130"/>
    </row>
    <row r="126" spans="2:2" x14ac:dyDescent="0.2">
      <c r="B126" s="130"/>
    </row>
    <row r="127" spans="2:2" x14ac:dyDescent="0.2">
      <c r="B127" s="130"/>
    </row>
    <row r="128" spans="2:2" x14ac:dyDescent="0.2">
      <c r="B128" s="130"/>
    </row>
    <row r="129" spans="2:2" x14ac:dyDescent="0.2">
      <c r="B129" s="130"/>
    </row>
    <row r="130" spans="2:2" x14ac:dyDescent="0.2">
      <c r="B130" s="130"/>
    </row>
    <row r="131" spans="2:2" x14ac:dyDescent="0.2">
      <c r="B131" s="130"/>
    </row>
    <row r="132" spans="2:2" x14ac:dyDescent="0.2">
      <c r="B132" s="130"/>
    </row>
    <row r="133" spans="2:2" x14ac:dyDescent="0.2">
      <c r="B133" s="130"/>
    </row>
    <row r="134" spans="2:2" x14ac:dyDescent="0.2">
      <c r="B134" s="130"/>
    </row>
    <row r="135" spans="2:2" x14ac:dyDescent="0.2">
      <c r="B135" s="130"/>
    </row>
    <row r="136" spans="2:2" x14ac:dyDescent="0.2">
      <c r="B136" s="130"/>
    </row>
    <row r="137" spans="2:2" x14ac:dyDescent="0.2">
      <c r="B137" s="130"/>
    </row>
    <row r="138" spans="2:2" x14ac:dyDescent="0.2">
      <c r="B138" s="130"/>
    </row>
    <row r="139" spans="2:2" x14ac:dyDescent="0.2">
      <c r="B139" s="130"/>
    </row>
    <row r="140" spans="2:2" x14ac:dyDescent="0.2">
      <c r="B140" s="130"/>
    </row>
    <row r="141" spans="2:2" x14ac:dyDescent="0.2">
      <c r="B141" s="130"/>
    </row>
    <row r="142" spans="2:2" x14ac:dyDescent="0.2">
      <c r="B142" s="130"/>
    </row>
    <row r="143" spans="2:2" x14ac:dyDescent="0.2">
      <c r="B143" s="130"/>
    </row>
    <row r="144" spans="2:2" x14ac:dyDescent="0.2">
      <c r="B144" s="130"/>
    </row>
    <row r="145" spans="2:2" x14ac:dyDescent="0.2">
      <c r="B145" s="130"/>
    </row>
    <row r="146" spans="2:2" x14ac:dyDescent="0.2">
      <c r="B146" s="130"/>
    </row>
    <row r="147" spans="2:2" x14ac:dyDescent="0.2">
      <c r="B147" s="130"/>
    </row>
    <row r="148" spans="2:2" x14ac:dyDescent="0.2">
      <c r="B148" s="130"/>
    </row>
    <row r="149" spans="2:2" x14ac:dyDescent="0.2">
      <c r="B149" s="130"/>
    </row>
    <row r="150" spans="2:2" x14ac:dyDescent="0.2">
      <c r="B150" s="130"/>
    </row>
    <row r="151" spans="2:2" x14ac:dyDescent="0.2">
      <c r="B151" s="130"/>
    </row>
    <row r="152" spans="2:2" x14ac:dyDescent="0.2">
      <c r="B152" s="130"/>
    </row>
    <row r="153" spans="2:2" x14ac:dyDescent="0.2">
      <c r="B153" s="130"/>
    </row>
    <row r="154" spans="2:2" x14ac:dyDescent="0.2">
      <c r="B154" s="130"/>
    </row>
    <row r="155" spans="2:2" x14ac:dyDescent="0.2">
      <c r="B155" s="130"/>
    </row>
    <row r="156" spans="2:2" x14ac:dyDescent="0.2">
      <c r="B156" s="130"/>
    </row>
    <row r="157" spans="2:2" x14ac:dyDescent="0.2">
      <c r="B157" s="130"/>
    </row>
    <row r="158" spans="2:2" x14ac:dyDescent="0.2">
      <c r="B158" s="130"/>
    </row>
    <row r="159" spans="2:2" x14ac:dyDescent="0.2">
      <c r="B159" s="130"/>
    </row>
    <row r="160" spans="2:2" x14ac:dyDescent="0.2">
      <c r="B160" s="130"/>
    </row>
    <row r="161" spans="2:2" x14ac:dyDescent="0.2">
      <c r="B161" s="130"/>
    </row>
    <row r="162" spans="2:2" x14ac:dyDescent="0.2">
      <c r="B162" s="130"/>
    </row>
    <row r="163" spans="2:2" x14ac:dyDescent="0.2">
      <c r="B163" s="130"/>
    </row>
    <row r="164" spans="2:2" x14ac:dyDescent="0.2">
      <c r="B164" s="130"/>
    </row>
    <row r="165" spans="2:2" x14ac:dyDescent="0.2">
      <c r="B165" s="130"/>
    </row>
    <row r="166" spans="2:2" x14ac:dyDescent="0.2">
      <c r="B166" s="130"/>
    </row>
    <row r="167" spans="2:2" x14ac:dyDescent="0.2">
      <c r="B167" s="130"/>
    </row>
    <row r="168" spans="2:2" x14ac:dyDescent="0.2">
      <c r="B168" s="130"/>
    </row>
    <row r="169" spans="2:2" x14ac:dyDescent="0.2">
      <c r="B169" s="130"/>
    </row>
    <row r="170" spans="2:2" x14ac:dyDescent="0.2">
      <c r="B170" s="130"/>
    </row>
    <row r="171" spans="2:2" x14ac:dyDescent="0.2">
      <c r="B171" s="130"/>
    </row>
    <row r="172" spans="2:2" x14ac:dyDescent="0.2">
      <c r="B172" s="130"/>
    </row>
    <row r="173" spans="2:2" x14ac:dyDescent="0.2">
      <c r="B173" s="130"/>
    </row>
    <row r="174" spans="2:2" x14ac:dyDescent="0.2">
      <c r="B174" s="130"/>
    </row>
    <row r="175" spans="2:2" x14ac:dyDescent="0.2">
      <c r="B175" s="130"/>
    </row>
    <row r="176" spans="2:2" x14ac:dyDescent="0.2">
      <c r="B176" s="130"/>
    </row>
    <row r="177" spans="2:2" x14ac:dyDescent="0.2">
      <c r="B177" s="130"/>
    </row>
    <row r="178" spans="2:2" x14ac:dyDescent="0.2">
      <c r="B178" s="130"/>
    </row>
    <row r="179" spans="2:2" x14ac:dyDescent="0.2">
      <c r="B179" s="130"/>
    </row>
    <row r="180" spans="2:2" x14ac:dyDescent="0.2">
      <c r="B180" s="130"/>
    </row>
    <row r="181" spans="2:2" x14ac:dyDescent="0.2">
      <c r="B181" s="130"/>
    </row>
    <row r="182" spans="2:2" x14ac:dyDescent="0.2">
      <c r="B182" s="130"/>
    </row>
    <row r="183" spans="2:2" x14ac:dyDescent="0.2">
      <c r="B183" s="130"/>
    </row>
    <row r="184" spans="2:2" x14ac:dyDescent="0.2">
      <c r="B184" s="130"/>
    </row>
    <row r="185" spans="2:2" x14ac:dyDescent="0.2">
      <c r="B185" s="130"/>
    </row>
    <row r="186" spans="2:2" x14ac:dyDescent="0.2">
      <c r="B186" s="130"/>
    </row>
    <row r="187" spans="2:2" x14ac:dyDescent="0.2">
      <c r="B187" s="130"/>
    </row>
    <row r="188" spans="2:2" x14ac:dyDescent="0.2">
      <c r="B188" s="130"/>
    </row>
    <row r="189" spans="2:2" x14ac:dyDescent="0.2">
      <c r="B189" s="130"/>
    </row>
    <row r="190" spans="2:2" x14ac:dyDescent="0.2">
      <c r="B190" s="130"/>
    </row>
    <row r="191" spans="2:2" x14ac:dyDescent="0.2">
      <c r="B191" s="130"/>
    </row>
    <row r="192" spans="2:2" x14ac:dyDescent="0.2">
      <c r="B192" s="130"/>
    </row>
    <row r="193" spans="2:2" x14ac:dyDescent="0.2">
      <c r="B193" s="130"/>
    </row>
    <row r="194" spans="2:2" x14ac:dyDescent="0.2">
      <c r="B194" s="130"/>
    </row>
    <row r="195" spans="2:2" x14ac:dyDescent="0.2">
      <c r="B195" s="130"/>
    </row>
    <row r="196" spans="2:2" x14ac:dyDescent="0.2">
      <c r="B196" s="130"/>
    </row>
    <row r="197" spans="2:2" x14ac:dyDescent="0.2">
      <c r="B197" s="130"/>
    </row>
    <row r="198" spans="2:2" x14ac:dyDescent="0.2">
      <c r="B198" s="130"/>
    </row>
    <row r="199" spans="2:2" x14ac:dyDescent="0.2">
      <c r="B199" s="130"/>
    </row>
    <row r="200" spans="2:2" x14ac:dyDescent="0.2">
      <c r="B200" s="130"/>
    </row>
    <row r="201" spans="2:2" x14ac:dyDescent="0.2">
      <c r="B201" s="130"/>
    </row>
    <row r="202" spans="2:2" x14ac:dyDescent="0.2">
      <c r="B202" s="130"/>
    </row>
    <row r="203" spans="2:2" x14ac:dyDescent="0.2">
      <c r="B203" s="130"/>
    </row>
    <row r="204" spans="2:2" x14ac:dyDescent="0.2">
      <c r="B204" s="130"/>
    </row>
    <row r="205" spans="2:2" x14ac:dyDescent="0.2">
      <c r="B205" s="130"/>
    </row>
    <row r="206" spans="2:2" x14ac:dyDescent="0.2">
      <c r="B206" s="130"/>
    </row>
    <row r="207" spans="2:2" x14ac:dyDescent="0.2">
      <c r="B207" s="130"/>
    </row>
    <row r="208" spans="2:2" x14ac:dyDescent="0.2">
      <c r="B208" s="130"/>
    </row>
    <row r="209" spans="2:2" x14ac:dyDescent="0.2">
      <c r="B209" s="130"/>
    </row>
    <row r="210" spans="2:2" x14ac:dyDescent="0.2">
      <c r="B210" s="130"/>
    </row>
    <row r="211" spans="2:2" x14ac:dyDescent="0.2">
      <c r="B211" s="130"/>
    </row>
    <row r="212" spans="2:2" x14ac:dyDescent="0.2">
      <c r="B212" s="130"/>
    </row>
    <row r="213" spans="2:2" x14ac:dyDescent="0.2">
      <c r="B213" s="130"/>
    </row>
    <row r="214" spans="2:2" x14ac:dyDescent="0.2">
      <c r="B214" s="130"/>
    </row>
    <row r="215" spans="2:2" x14ac:dyDescent="0.2">
      <c r="B215" s="130"/>
    </row>
    <row r="216" spans="2:2" x14ac:dyDescent="0.2">
      <c r="B216" s="130"/>
    </row>
    <row r="217" spans="2:2" x14ac:dyDescent="0.2">
      <c r="B217" s="130"/>
    </row>
    <row r="218" spans="2:2" x14ac:dyDescent="0.2">
      <c r="B218" s="130"/>
    </row>
    <row r="219" spans="2:2" x14ac:dyDescent="0.2">
      <c r="B219" s="130"/>
    </row>
    <row r="220" spans="2:2" x14ac:dyDescent="0.2">
      <c r="B220" s="130"/>
    </row>
    <row r="221" spans="2:2" x14ac:dyDescent="0.2">
      <c r="B221" s="130"/>
    </row>
    <row r="222" spans="2:2" x14ac:dyDescent="0.2">
      <c r="B222" s="130"/>
    </row>
    <row r="223" spans="2:2" x14ac:dyDescent="0.2">
      <c r="B223" s="130"/>
    </row>
    <row r="224" spans="2:2" x14ac:dyDescent="0.2">
      <c r="B224" s="130"/>
    </row>
    <row r="225" spans="2:2" x14ac:dyDescent="0.2">
      <c r="B225" s="130"/>
    </row>
    <row r="226" spans="2:2" x14ac:dyDescent="0.2">
      <c r="B226" s="130"/>
    </row>
    <row r="227" spans="2:2" x14ac:dyDescent="0.2">
      <c r="B227" s="130"/>
    </row>
    <row r="228" spans="2:2" x14ac:dyDescent="0.2">
      <c r="B228" s="130"/>
    </row>
    <row r="229" spans="2:2" x14ac:dyDescent="0.2">
      <c r="B229" s="130"/>
    </row>
    <row r="230" spans="2:2" x14ac:dyDescent="0.2">
      <c r="B230" s="130"/>
    </row>
    <row r="231" spans="2:2" x14ac:dyDescent="0.2">
      <c r="B231" s="130"/>
    </row>
    <row r="232" spans="2:2" x14ac:dyDescent="0.2">
      <c r="B232" s="130"/>
    </row>
    <row r="233" spans="2:2" x14ac:dyDescent="0.2">
      <c r="B233" s="130"/>
    </row>
    <row r="234" spans="2:2" x14ac:dyDescent="0.2">
      <c r="B234" s="130"/>
    </row>
    <row r="235" spans="2:2" x14ac:dyDescent="0.2">
      <c r="B235" s="130"/>
    </row>
    <row r="236" spans="2:2" x14ac:dyDescent="0.2">
      <c r="B236" s="130"/>
    </row>
    <row r="237" spans="2:2" x14ac:dyDescent="0.2">
      <c r="B237" s="130"/>
    </row>
    <row r="238" spans="2:2" x14ac:dyDescent="0.2">
      <c r="B238" s="130"/>
    </row>
    <row r="239" spans="2:2" x14ac:dyDescent="0.2">
      <c r="B239" s="130"/>
    </row>
    <row r="240" spans="2:2" x14ac:dyDescent="0.2">
      <c r="B240" s="130"/>
    </row>
    <row r="241" spans="2:2" x14ac:dyDescent="0.2">
      <c r="B241" s="130"/>
    </row>
    <row r="242" spans="2:2" x14ac:dyDescent="0.2">
      <c r="B242" s="130"/>
    </row>
    <row r="243" spans="2:2" x14ac:dyDescent="0.2">
      <c r="B243" s="130"/>
    </row>
    <row r="244" spans="2:2" x14ac:dyDescent="0.2">
      <c r="B244" s="130"/>
    </row>
    <row r="245" spans="2:2" x14ac:dyDescent="0.2">
      <c r="B245" s="130"/>
    </row>
    <row r="246" spans="2:2" x14ac:dyDescent="0.2">
      <c r="B246" s="130"/>
    </row>
    <row r="247" spans="2:2" x14ac:dyDescent="0.2">
      <c r="B247" s="130"/>
    </row>
    <row r="248" spans="2:2" x14ac:dyDescent="0.2">
      <c r="B248" s="130"/>
    </row>
    <row r="249" spans="2:2" x14ac:dyDescent="0.2">
      <c r="B249" s="130"/>
    </row>
    <row r="250" spans="2:2" x14ac:dyDescent="0.2">
      <c r="B250" s="130"/>
    </row>
    <row r="251" spans="2:2" x14ac:dyDescent="0.2">
      <c r="B251" s="130"/>
    </row>
    <row r="252" spans="2:2" x14ac:dyDescent="0.2">
      <c r="B252" s="130"/>
    </row>
    <row r="253" spans="2:2" x14ac:dyDescent="0.2">
      <c r="B253" s="130"/>
    </row>
    <row r="254" spans="2:2" x14ac:dyDescent="0.2">
      <c r="B254" s="130"/>
    </row>
    <row r="255" spans="2:2" x14ac:dyDescent="0.2">
      <c r="B255" s="130"/>
    </row>
    <row r="256" spans="2:2" x14ac:dyDescent="0.2">
      <c r="B256" s="130"/>
    </row>
    <row r="257" spans="2:2" x14ac:dyDescent="0.2">
      <c r="B257" s="130"/>
    </row>
  </sheetData>
  <mergeCells count="7">
    <mergeCell ref="A7:E7"/>
    <mergeCell ref="A8:E8"/>
    <mergeCell ref="C1:E1"/>
    <mergeCell ref="C2:E2"/>
    <mergeCell ref="B4:E4"/>
    <mergeCell ref="B3:E3"/>
    <mergeCell ref="B5:E5"/>
  </mergeCells>
  <pageMargins left="0.51181102362204722" right="0.15748031496062992" top="0.43307086614173229" bottom="0.47244094488188981" header="0.15748031496062992" footer="0.15748031496062992"/>
  <pageSetup paperSize="9" scale="73" fitToHeight="0" orientation="portrait" useFirstPageNumber="1" r:id="rId1"/>
  <headerFooter alignWithMargins="0">
    <oddHeader>&amp;R&amp;P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626"/>
  <sheetViews>
    <sheetView showGridLines="0" view="pageBreakPreview" topLeftCell="A10" zoomScale="60" zoomScaleNormal="100" workbookViewId="0">
      <selection activeCell="Z23" sqref="Z23"/>
    </sheetView>
  </sheetViews>
  <sheetFormatPr defaultColWidth="9.140625" defaultRowHeight="12.75" x14ac:dyDescent="0.2"/>
  <cols>
    <col min="1" max="1" width="1.7109375" style="57" customWidth="1"/>
    <col min="2" max="11" width="0" style="57" hidden="1" customWidth="1"/>
    <col min="12" max="12" width="44" style="57" customWidth="1"/>
    <col min="13" max="14" width="5.7109375" style="217" customWidth="1"/>
    <col min="15" max="15" width="9.5703125" style="217" customWidth="1"/>
    <col min="16" max="16" width="5.7109375" style="217" customWidth="1"/>
    <col min="17" max="18" width="0" style="217" hidden="1" customWidth="1"/>
    <col min="19" max="19" width="12.140625" style="217" hidden="1" customWidth="1"/>
    <col min="20" max="20" width="9.140625" style="217" hidden="1" customWidth="1"/>
    <col min="21" max="21" width="10.28515625" style="217" customWidth="1"/>
    <col min="22" max="23" width="9.140625" style="217" customWidth="1"/>
    <col min="24" max="243" width="9.140625" style="57" customWidth="1"/>
    <col min="244" max="16384" width="9.140625" style="57"/>
  </cols>
  <sheetData>
    <row r="1" spans="1:23" s="48" customFormat="1" ht="12.75" customHeight="1" x14ac:dyDescent="0.2">
      <c r="A1" s="45"/>
      <c r="B1" s="45"/>
      <c r="C1" s="45"/>
      <c r="D1" s="45"/>
      <c r="E1" s="45"/>
      <c r="F1" s="46"/>
      <c r="G1" s="47"/>
      <c r="H1" s="47"/>
      <c r="I1" s="47"/>
      <c r="J1" s="47"/>
      <c r="K1" s="47"/>
      <c r="L1" s="52"/>
      <c r="M1" s="260"/>
      <c r="N1" s="492" t="s">
        <v>616</v>
      </c>
      <c r="O1" s="492"/>
      <c r="P1" s="492"/>
      <c r="Q1" s="492"/>
      <c r="R1" s="492"/>
      <c r="S1" s="492"/>
      <c r="T1" s="492"/>
      <c r="U1" s="492"/>
      <c r="V1" s="492"/>
      <c r="W1" s="492"/>
    </row>
    <row r="2" spans="1:23" s="48" customFormat="1" ht="12" customHeight="1" x14ac:dyDescent="0.2">
      <c r="A2" s="49"/>
      <c r="B2" s="50"/>
      <c r="C2" s="50"/>
      <c r="D2" s="50"/>
      <c r="E2" s="50"/>
      <c r="F2" s="46"/>
      <c r="G2" s="47"/>
      <c r="H2" s="47"/>
      <c r="I2" s="47"/>
      <c r="J2" s="47"/>
      <c r="K2" s="47"/>
      <c r="L2" s="52"/>
      <c r="M2" s="493" t="s">
        <v>127</v>
      </c>
      <c r="N2" s="493"/>
      <c r="O2" s="493"/>
      <c r="P2" s="493"/>
      <c r="Q2" s="493"/>
      <c r="R2" s="493"/>
      <c r="S2" s="493"/>
      <c r="T2" s="493"/>
      <c r="U2" s="493"/>
      <c r="V2" s="493"/>
      <c r="W2" s="493"/>
    </row>
    <row r="3" spans="1:23" s="48" customFormat="1" ht="1.5" customHeight="1" x14ac:dyDescent="0.2">
      <c r="A3" s="51"/>
      <c r="B3" s="51"/>
      <c r="C3" s="51"/>
      <c r="D3" s="51"/>
      <c r="E3" s="51"/>
      <c r="F3" s="51"/>
      <c r="G3" s="51"/>
      <c r="H3" s="51"/>
      <c r="I3" s="51"/>
      <c r="J3" s="51"/>
      <c r="K3" s="51"/>
      <c r="L3" s="139"/>
      <c r="M3" s="493"/>
      <c r="N3" s="493"/>
      <c r="O3" s="493"/>
      <c r="P3" s="493"/>
      <c r="Q3" s="493"/>
      <c r="R3" s="493"/>
      <c r="S3" s="493"/>
      <c r="T3" s="493"/>
      <c r="U3" s="493"/>
      <c r="V3" s="493"/>
      <c r="W3" s="493"/>
    </row>
    <row r="4" spans="1:23" s="48" customFormat="1" ht="13.5" customHeight="1" x14ac:dyDescent="0.2">
      <c r="A4" s="51"/>
      <c r="B4" s="51"/>
      <c r="C4" s="51"/>
      <c r="D4" s="51"/>
      <c r="E4" s="51"/>
      <c r="F4" s="51"/>
      <c r="G4" s="51"/>
      <c r="H4" s="51"/>
      <c r="I4" s="51"/>
      <c r="J4" s="51"/>
      <c r="K4" s="51"/>
      <c r="L4" s="494" t="s">
        <v>167</v>
      </c>
      <c r="M4" s="494"/>
      <c r="N4" s="494"/>
      <c r="O4" s="494"/>
      <c r="P4" s="494"/>
      <c r="Q4" s="494"/>
      <c r="R4" s="494"/>
      <c r="S4" s="494"/>
      <c r="T4" s="494"/>
      <c r="U4" s="494"/>
      <c r="V4" s="494"/>
      <c r="W4" s="494"/>
    </row>
    <row r="5" spans="1:23" s="48" customFormat="1" ht="12.75" customHeight="1" x14ac:dyDescent="0.2">
      <c r="A5" s="51"/>
      <c r="B5" s="51"/>
      <c r="C5" s="51"/>
      <c r="D5" s="51"/>
      <c r="E5" s="51"/>
      <c r="F5" s="51"/>
      <c r="G5" s="51"/>
      <c r="H5" s="51"/>
      <c r="I5" s="51"/>
      <c r="J5" s="51"/>
      <c r="K5" s="51"/>
      <c r="L5" s="494" t="s">
        <v>273</v>
      </c>
      <c r="M5" s="494"/>
      <c r="N5" s="494"/>
      <c r="O5" s="494"/>
      <c r="P5" s="494"/>
      <c r="Q5" s="494"/>
      <c r="R5" s="494"/>
      <c r="S5" s="494"/>
      <c r="T5" s="494"/>
      <c r="U5" s="494"/>
      <c r="V5" s="494"/>
      <c r="W5" s="494"/>
    </row>
    <row r="6" spans="1:23" s="48" customFormat="1" ht="12.75" customHeight="1" x14ac:dyDescent="0.2">
      <c r="A6" s="47"/>
      <c r="B6" s="47"/>
      <c r="C6" s="47"/>
      <c r="D6" s="47"/>
      <c r="E6" s="47"/>
      <c r="F6" s="47"/>
      <c r="G6" s="47"/>
      <c r="H6" s="47"/>
      <c r="I6" s="47"/>
      <c r="J6" s="47"/>
      <c r="K6" s="47"/>
      <c r="L6" s="495" t="s">
        <v>533</v>
      </c>
      <c r="M6" s="495"/>
      <c r="N6" s="495"/>
      <c r="O6" s="495"/>
      <c r="P6" s="495"/>
      <c r="Q6" s="495"/>
      <c r="R6" s="495"/>
      <c r="S6" s="495"/>
      <c r="T6" s="495"/>
      <c r="U6" s="495"/>
      <c r="V6" s="495"/>
      <c r="W6" s="495"/>
    </row>
    <row r="7" spans="1:23" s="48" customFormat="1" ht="12.75" customHeight="1" x14ac:dyDescent="0.2">
      <c r="A7" s="47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213"/>
      <c r="N7" s="213"/>
      <c r="O7" s="213"/>
      <c r="P7" s="213"/>
      <c r="Q7" s="213"/>
      <c r="R7" s="213"/>
      <c r="S7" s="213"/>
      <c r="T7" s="213"/>
      <c r="U7" s="213"/>
      <c r="V7" s="214"/>
      <c r="W7" s="214"/>
    </row>
    <row r="8" spans="1:23" s="48" customFormat="1" ht="12.75" customHeight="1" x14ac:dyDescent="0.2">
      <c r="A8" s="497" t="s">
        <v>607</v>
      </c>
      <c r="B8" s="497"/>
      <c r="C8" s="497"/>
      <c r="D8" s="497"/>
      <c r="E8" s="497"/>
      <c r="F8" s="497"/>
      <c r="G8" s="497"/>
      <c r="H8" s="497"/>
      <c r="I8" s="497"/>
      <c r="J8" s="497"/>
      <c r="K8" s="497"/>
      <c r="L8" s="497"/>
      <c r="M8" s="497"/>
      <c r="N8" s="497"/>
      <c r="O8" s="497"/>
      <c r="P8" s="497"/>
      <c r="Q8" s="497"/>
      <c r="R8" s="497"/>
      <c r="S8" s="497"/>
      <c r="T8" s="497"/>
      <c r="U8" s="497"/>
      <c r="V8" s="497"/>
      <c r="W8" s="497"/>
    </row>
    <row r="9" spans="1:23" s="48" customFormat="1" ht="62.25" customHeight="1" x14ac:dyDescent="0.2">
      <c r="A9" s="496" t="s">
        <v>582</v>
      </c>
      <c r="B9" s="496"/>
      <c r="C9" s="496"/>
      <c r="D9" s="496"/>
      <c r="E9" s="496"/>
      <c r="F9" s="496"/>
      <c r="G9" s="496"/>
      <c r="H9" s="496"/>
      <c r="I9" s="496"/>
      <c r="J9" s="496"/>
      <c r="K9" s="496"/>
      <c r="L9" s="496"/>
      <c r="M9" s="496"/>
      <c r="N9" s="496"/>
      <c r="O9" s="496"/>
      <c r="P9" s="496"/>
      <c r="Q9" s="496"/>
      <c r="R9" s="496"/>
      <c r="S9" s="496"/>
      <c r="T9" s="496"/>
      <c r="U9" s="496"/>
      <c r="V9" s="496"/>
      <c r="W9" s="496"/>
    </row>
    <row r="10" spans="1:23" ht="12.75" customHeight="1" x14ac:dyDescent="0.2">
      <c r="A10" s="61"/>
      <c r="B10" s="61"/>
      <c r="C10" s="61"/>
      <c r="D10" s="61"/>
      <c r="E10" s="61"/>
      <c r="F10" s="61"/>
      <c r="G10" s="61"/>
      <c r="H10" s="61"/>
      <c r="I10" s="61"/>
      <c r="J10" s="61"/>
      <c r="K10" s="61"/>
      <c r="L10" s="61"/>
      <c r="M10" s="215"/>
      <c r="N10" s="215"/>
      <c r="O10" s="215"/>
      <c r="P10" s="215"/>
      <c r="Q10" s="215"/>
      <c r="R10" s="215"/>
      <c r="S10" s="215"/>
      <c r="T10" s="216"/>
      <c r="U10" s="216"/>
    </row>
    <row r="11" spans="1:23" ht="12.75" customHeight="1" x14ac:dyDescent="0.2">
      <c r="A11" s="62" t="s">
        <v>314</v>
      </c>
      <c r="B11" s="61"/>
      <c r="C11" s="61"/>
      <c r="D11" s="61"/>
      <c r="E11" s="61"/>
      <c r="F11" s="61"/>
      <c r="G11" s="61"/>
      <c r="H11" s="61"/>
      <c r="I11" s="61"/>
      <c r="J11" s="61"/>
      <c r="K11" s="61"/>
      <c r="L11" s="61"/>
      <c r="M11" s="215"/>
      <c r="N11" s="215"/>
      <c r="O11" s="215"/>
      <c r="P11" s="215"/>
      <c r="Q11" s="215"/>
      <c r="R11" s="215"/>
      <c r="S11" s="215"/>
      <c r="T11" s="216"/>
      <c r="U11" s="216"/>
    </row>
    <row r="12" spans="1:23" ht="12.75" customHeight="1" x14ac:dyDescent="0.2">
      <c r="A12" s="62" t="s">
        <v>315</v>
      </c>
      <c r="B12" s="61"/>
      <c r="C12" s="61"/>
      <c r="D12" s="61"/>
      <c r="E12" s="61"/>
      <c r="F12" s="61"/>
      <c r="G12" s="61"/>
      <c r="H12" s="61"/>
      <c r="I12" s="61"/>
      <c r="J12" s="61"/>
      <c r="K12" s="61"/>
      <c r="L12" s="62"/>
      <c r="M12" s="215"/>
      <c r="N12" s="215"/>
      <c r="O12" s="215"/>
      <c r="P12" s="215"/>
      <c r="Q12" s="215"/>
      <c r="R12" s="215"/>
      <c r="S12" s="215"/>
      <c r="T12" s="216"/>
      <c r="U12" s="216"/>
    </row>
    <row r="13" spans="1:23" ht="8.25" customHeight="1" x14ac:dyDescent="0.2">
      <c r="A13" s="61"/>
      <c r="B13" s="61"/>
      <c r="C13" s="61"/>
      <c r="D13" s="61"/>
      <c r="E13" s="61"/>
      <c r="F13" s="61"/>
      <c r="G13" s="61"/>
      <c r="H13" s="61"/>
      <c r="I13" s="61"/>
      <c r="J13" s="61"/>
      <c r="K13" s="61"/>
      <c r="L13" s="63"/>
      <c r="M13" s="215"/>
      <c r="N13" s="215"/>
      <c r="O13" s="215"/>
      <c r="P13" s="215"/>
      <c r="Q13" s="215"/>
      <c r="R13" s="215"/>
      <c r="S13" s="215"/>
      <c r="T13" s="216"/>
      <c r="U13" s="216"/>
    </row>
    <row r="14" spans="1:23" ht="6.75" customHeight="1" thickBot="1" x14ac:dyDescent="0.25">
      <c r="A14" s="61"/>
      <c r="B14" s="61"/>
      <c r="C14" s="61"/>
      <c r="D14" s="61"/>
      <c r="E14" s="61"/>
      <c r="F14" s="61"/>
      <c r="G14" s="61"/>
      <c r="H14" s="61"/>
      <c r="I14" s="61"/>
      <c r="J14" s="61"/>
      <c r="K14" s="61"/>
      <c r="L14" s="61"/>
      <c r="M14" s="215"/>
      <c r="N14" s="215"/>
      <c r="O14" s="215"/>
      <c r="P14" s="215"/>
      <c r="Q14" s="215"/>
      <c r="R14" s="215"/>
      <c r="S14" s="215"/>
      <c r="T14" s="216"/>
      <c r="U14" s="216"/>
    </row>
    <row r="15" spans="1:23" ht="12.75" customHeight="1" thickBot="1" x14ac:dyDescent="0.25">
      <c r="A15" s="61"/>
      <c r="B15" s="61"/>
      <c r="C15" s="61"/>
      <c r="D15" s="61"/>
      <c r="E15" s="61"/>
      <c r="F15" s="61"/>
      <c r="G15" s="61"/>
      <c r="H15" s="61"/>
      <c r="I15" s="61"/>
      <c r="J15" s="61"/>
      <c r="K15" s="61"/>
      <c r="L15" s="82"/>
      <c r="M15" s="218"/>
      <c r="N15" s="218"/>
      <c r="O15" s="218"/>
      <c r="P15" s="65"/>
      <c r="Q15" s="219"/>
      <c r="R15" s="66"/>
      <c r="S15" s="67"/>
      <c r="T15" s="66"/>
      <c r="U15" s="212"/>
      <c r="V15" s="220"/>
      <c r="W15" s="220"/>
    </row>
    <row r="16" spans="1:23" ht="66" customHeight="1" thickBot="1" x14ac:dyDescent="0.25">
      <c r="A16" s="68"/>
      <c r="B16" s="69" t="s">
        <v>316</v>
      </c>
      <c r="C16" s="70" t="s">
        <v>317</v>
      </c>
      <c r="D16" s="70"/>
      <c r="E16" s="70"/>
      <c r="F16" s="70"/>
      <c r="G16" s="70" t="s">
        <v>318</v>
      </c>
      <c r="H16" s="70"/>
      <c r="I16" s="70"/>
      <c r="J16" s="70" t="s">
        <v>319</v>
      </c>
      <c r="K16" s="70" t="s">
        <v>320</v>
      </c>
      <c r="L16" s="83" t="s">
        <v>0</v>
      </c>
      <c r="M16" s="72" t="s">
        <v>1</v>
      </c>
      <c r="N16" s="72" t="s">
        <v>2</v>
      </c>
      <c r="O16" s="72" t="s">
        <v>3</v>
      </c>
      <c r="P16" s="71" t="s">
        <v>4</v>
      </c>
      <c r="Q16" s="75" t="s">
        <v>321</v>
      </c>
      <c r="R16" s="72"/>
      <c r="S16" s="71" t="s">
        <v>589</v>
      </c>
      <c r="T16" s="74" t="s">
        <v>590</v>
      </c>
      <c r="U16" s="5" t="s">
        <v>591</v>
      </c>
      <c r="V16" s="94" t="s">
        <v>603</v>
      </c>
      <c r="W16" s="94" t="s">
        <v>593</v>
      </c>
    </row>
    <row r="17" spans="1:24" ht="12.75" customHeight="1" x14ac:dyDescent="0.2">
      <c r="A17" s="68"/>
      <c r="B17" s="76"/>
      <c r="C17" s="76"/>
      <c r="D17" s="76"/>
      <c r="E17" s="76"/>
      <c r="F17" s="76"/>
      <c r="G17" s="76"/>
      <c r="H17" s="76"/>
      <c r="I17" s="76"/>
      <c r="J17" s="76"/>
      <c r="K17" s="77"/>
      <c r="L17" s="84">
        <v>1</v>
      </c>
      <c r="M17" s="221">
        <v>2</v>
      </c>
      <c r="N17" s="221">
        <v>3</v>
      </c>
      <c r="O17" s="221">
        <v>4</v>
      </c>
      <c r="P17" s="221">
        <v>5</v>
      </c>
      <c r="Q17" s="222">
        <v>7</v>
      </c>
      <c r="R17" s="222"/>
      <c r="S17" s="221">
        <v>6</v>
      </c>
      <c r="T17" s="222">
        <v>7</v>
      </c>
      <c r="U17" s="223">
        <v>8</v>
      </c>
      <c r="V17" s="224">
        <v>9</v>
      </c>
      <c r="W17" s="224">
        <v>10</v>
      </c>
    </row>
    <row r="18" spans="1:24" ht="12" customHeight="1" thickBot="1" x14ac:dyDescent="0.25">
      <c r="A18" s="78"/>
      <c r="B18" s="86"/>
      <c r="C18" s="86"/>
      <c r="D18" s="87"/>
      <c r="E18" s="88"/>
      <c r="F18" s="88"/>
      <c r="G18" s="89"/>
      <c r="H18" s="90"/>
      <c r="I18" s="90"/>
      <c r="J18" s="89"/>
      <c r="K18" s="90"/>
      <c r="L18" s="58" t="s">
        <v>126</v>
      </c>
      <c r="M18" s="225"/>
      <c r="N18" s="226"/>
      <c r="O18" s="227"/>
      <c r="P18" s="228"/>
      <c r="Q18" s="229"/>
      <c r="R18" s="230"/>
      <c r="S18" s="231">
        <v>0</v>
      </c>
      <c r="T18" s="231">
        <v>0</v>
      </c>
      <c r="U18" s="165">
        <v>526487.91599999997</v>
      </c>
      <c r="V18" s="275">
        <f>+V19+V187+V200+V219+V275+V283+V365+V443+V450+V582+V596+V603</f>
        <v>130821.34944999998</v>
      </c>
      <c r="W18" s="275">
        <f>V18/U18*100</f>
        <v>24.847930118494872</v>
      </c>
      <c r="X18" s="259">
        <f>V18-'11'!AG657</f>
        <v>0</v>
      </c>
    </row>
    <row r="19" spans="1:24" ht="12.75" customHeight="1" x14ac:dyDescent="0.2">
      <c r="A19" s="78"/>
      <c r="B19" s="510" t="s">
        <v>328</v>
      </c>
      <c r="C19" s="510"/>
      <c r="D19" s="510"/>
      <c r="E19" s="510"/>
      <c r="F19" s="510"/>
      <c r="G19" s="510"/>
      <c r="H19" s="510"/>
      <c r="I19" s="510"/>
      <c r="J19" s="510"/>
      <c r="K19" s="510"/>
      <c r="L19" s="511"/>
      <c r="M19" s="232">
        <v>1</v>
      </c>
      <c r="N19" s="232">
        <v>0</v>
      </c>
      <c r="O19" s="233">
        <v>0</v>
      </c>
      <c r="P19" s="234">
        <v>0</v>
      </c>
      <c r="Q19" s="512"/>
      <c r="R19" s="513"/>
      <c r="S19" s="235">
        <v>36356.262000000002</v>
      </c>
      <c r="T19" s="236">
        <v>0</v>
      </c>
      <c r="U19" s="165">
        <v>36356.262000000002</v>
      </c>
      <c r="V19" s="275">
        <f>+V20+V27+V54+V80+V86+V128+V133</f>
        <v>9162.6432800000002</v>
      </c>
      <c r="W19" s="275">
        <f t="shared" ref="W19:W82" si="0">V19/U19*100</f>
        <v>25.202379936639254</v>
      </c>
    </row>
    <row r="20" spans="1:24" ht="30" customHeight="1" x14ac:dyDescent="0.25">
      <c r="A20" s="78"/>
      <c r="B20" s="502" t="s">
        <v>79</v>
      </c>
      <c r="C20" s="502"/>
      <c r="D20" s="502"/>
      <c r="E20" s="502"/>
      <c r="F20" s="502"/>
      <c r="G20" s="502"/>
      <c r="H20" s="502"/>
      <c r="I20" s="502"/>
      <c r="J20" s="502"/>
      <c r="K20" s="502"/>
      <c r="L20" s="503"/>
      <c r="M20" s="237">
        <v>1</v>
      </c>
      <c r="N20" s="237">
        <v>2</v>
      </c>
      <c r="O20" s="238">
        <v>0</v>
      </c>
      <c r="P20" s="239">
        <v>0</v>
      </c>
      <c r="Q20" s="504"/>
      <c r="R20" s="505"/>
      <c r="S20" s="240">
        <v>1058.002</v>
      </c>
      <c r="T20" s="241">
        <v>0</v>
      </c>
      <c r="U20" s="274">
        <v>1058.002</v>
      </c>
      <c r="V20" s="275">
        <f>+V21</f>
        <v>222.28070000000002</v>
      </c>
      <c r="W20" s="275">
        <f t="shared" si="0"/>
        <v>21.009478242952284</v>
      </c>
    </row>
    <row r="21" spans="1:24" ht="32.25" customHeight="1" x14ac:dyDescent="0.2">
      <c r="A21" s="78"/>
      <c r="B21" s="498" t="s">
        <v>329</v>
      </c>
      <c r="C21" s="498"/>
      <c r="D21" s="498"/>
      <c r="E21" s="498"/>
      <c r="F21" s="498"/>
      <c r="G21" s="498"/>
      <c r="H21" s="498"/>
      <c r="I21" s="498"/>
      <c r="J21" s="498"/>
      <c r="K21" s="498"/>
      <c r="L21" s="499"/>
      <c r="M21" s="242">
        <v>1</v>
      </c>
      <c r="N21" s="242">
        <v>2</v>
      </c>
      <c r="O21" s="243" t="s">
        <v>330</v>
      </c>
      <c r="P21" s="244">
        <v>0</v>
      </c>
      <c r="Q21" s="500"/>
      <c r="R21" s="501"/>
      <c r="S21" s="245">
        <v>1058.002</v>
      </c>
      <c r="T21" s="246">
        <v>0</v>
      </c>
      <c r="U21" s="164">
        <v>1058.002</v>
      </c>
      <c r="V21" s="273">
        <f>+V22</f>
        <v>222.28070000000002</v>
      </c>
      <c r="W21" s="273">
        <f t="shared" si="0"/>
        <v>21.009478242952284</v>
      </c>
    </row>
    <row r="22" spans="1:24" ht="21.75" customHeight="1" x14ac:dyDescent="0.2">
      <c r="A22" s="78"/>
      <c r="B22" s="498" t="s">
        <v>331</v>
      </c>
      <c r="C22" s="498"/>
      <c r="D22" s="498"/>
      <c r="E22" s="498"/>
      <c r="F22" s="498"/>
      <c r="G22" s="498"/>
      <c r="H22" s="498"/>
      <c r="I22" s="498"/>
      <c r="J22" s="498"/>
      <c r="K22" s="498"/>
      <c r="L22" s="499"/>
      <c r="M22" s="242">
        <v>1</v>
      </c>
      <c r="N22" s="242">
        <v>2</v>
      </c>
      <c r="O22" s="243" t="s">
        <v>332</v>
      </c>
      <c r="P22" s="244">
        <v>0</v>
      </c>
      <c r="Q22" s="500"/>
      <c r="R22" s="501"/>
      <c r="S22" s="245">
        <v>1058.002</v>
      </c>
      <c r="T22" s="246">
        <v>0</v>
      </c>
      <c r="U22" s="164">
        <v>1058.002</v>
      </c>
      <c r="V22" s="273">
        <f>+V23</f>
        <v>222.28070000000002</v>
      </c>
      <c r="W22" s="273">
        <f t="shared" si="0"/>
        <v>21.009478242952284</v>
      </c>
    </row>
    <row r="23" spans="1:24" ht="53.25" customHeight="1" x14ac:dyDescent="0.2">
      <c r="A23" s="78"/>
      <c r="B23" s="498" t="s">
        <v>17</v>
      </c>
      <c r="C23" s="498"/>
      <c r="D23" s="498"/>
      <c r="E23" s="498"/>
      <c r="F23" s="498"/>
      <c r="G23" s="498"/>
      <c r="H23" s="498"/>
      <c r="I23" s="498"/>
      <c r="J23" s="498"/>
      <c r="K23" s="498"/>
      <c r="L23" s="499"/>
      <c r="M23" s="242">
        <v>1</v>
      </c>
      <c r="N23" s="242">
        <v>2</v>
      </c>
      <c r="O23" s="243" t="s">
        <v>332</v>
      </c>
      <c r="P23" s="244" t="s">
        <v>18</v>
      </c>
      <c r="Q23" s="500"/>
      <c r="R23" s="501"/>
      <c r="S23" s="245">
        <v>1058.002</v>
      </c>
      <c r="T23" s="246">
        <v>0</v>
      </c>
      <c r="U23" s="164">
        <v>1058.002</v>
      </c>
      <c r="V23" s="273">
        <f>+V24</f>
        <v>222.28070000000002</v>
      </c>
      <c r="W23" s="273">
        <f t="shared" si="0"/>
        <v>21.009478242952284</v>
      </c>
    </row>
    <row r="24" spans="1:24" ht="21.75" customHeight="1" x14ac:dyDescent="0.2">
      <c r="A24" s="78"/>
      <c r="B24" s="498" t="s">
        <v>37</v>
      </c>
      <c r="C24" s="498"/>
      <c r="D24" s="498"/>
      <c r="E24" s="498"/>
      <c r="F24" s="498"/>
      <c r="G24" s="498"/>
      <c r="H24" s="498"/>
      <c r="I24" s="498"/>
      <c r="J24" s="498"/>
      <c r="K24" s="498"/>
      <c r="L24" s="499"/>
      <c r="M24" s="242">
        <v>1</v>
      </c>
      <c r="N24" s="242">
        <v>2</v>
      </c>
      <c r="O24" s="243" t="s">
        <v>332</v>
      </c>
      <c r="P24" s="244" t="s">
        <v>38</v>
      </c>
      <c r="Q24" s="500"/>
      <c r="R24" s="501"/>
      <c r="S24" s="245">
        <v>1058.002</v>
      </c>
      <c r="T24" s="246">
        <v>0</v>
      </c>
      <c r="U24" s="164">
        <v>1058.002</v>
      </c>
      <c r="V24" s="273">
        <f>+V25+V26</f>
        <v>222.28070000000002</v>
      </c>
      <c r="W24" s="273">
        <f t="shared" si="0"/>
        <v>21.009478242952284</v>
      </c>
    </row>
    <row r="25" spans="1:24" ht="21.75" customHeight="1" x14ac:dyDescent="0.2">
      <c r="A25" s="78"/>
      <c r="B25" s="498" t="s">
        <v>333</v>
      </c>
      <c r="C25" s="498"/>
      <c r="D25" s="498"/>
      <c r="E25" s="498"/>
      <c r="F25" s="498"/>
      <c r="G25" s="498"/>
      <c r="H25" s="498"/>
      <c r="I25" s="498"/>
      <c r="J25" s="498"/>
      <c r="K25" s="498"/>
      <c r="L25" s="499"/>
      <c r="M25" s="242">
        <v>1</v>
      </c>
      <c r="N25" s="242">
        <v>2</v>
      </c>
      <c r="O25" s="243" t="s">
        <v>332</v>
      </c>
      <c r="P25" s="244" t="s">
        <v>39</v>
      </c>
      <c r="Q25" s="500"/>
      <c r="R25" s="501"/>
      <c r="S25" s="245">
        <v>812.59799999999996</v>
      </c>
      <c r="T25" s="246">
        <v>0</v>
      </c>
      <c r="U25" s="164">
        <v>812.59799999999996</v>
      </c>
      <c r="V25" s="273">
        <f>+'11'!AG387</f>
        <v>172.48571000000001</v>
      </c>
      <c r="W25" s="273">
        <f t="shared" si="0"/>
        <v>21.226450225080544</v>
      </c>
    </row>
    <row r="26" spans="1:24" ht="32.25" customHeight="1" x14ac:dyDescent="0.2">
      <c r="A26" s="78"/>
      <c r="B26" s="498" t="s">
        <v>334</v>
      </c>
      <c r="C26" s="498"/>
      <c r="D26" s="498"/>
      <c r="E26" s="498"/>
      <c r="F26" s="498"/>
      <c r="G26" s="498"/>
      <c r="H26" s="498"/>
      <c r="I26" s="498"/>
      <c r="J26" s="498"/>
      <c r="K26" s="498"/>
      <c r="L26" s="499"/>
      <c r="M26" s="242">
        <v>1</v>
      </c>
      <c r="N26" s="242">
        <v>2</v>
      </c>
      <c r="O26" s="243" t="s">
        <v>332</v>
      </c>
      <c r="P26" s="244" t="s">
        <v>41</v>
      </c>
      <c r="Q26" s="500"/>
      <c r="R26" s="501"/>
      <c r="S26" s="245">
        <v>245.404</v>
      </c>
      <c r="T26" s="246">
        <v>0</v>
      </c>
      <c r="U26" s="164">
        <v>245.404</v>
      </c>
      <c r="V26" s="273">
        <f>+'11'!AG388</f>
        <v>49.794989999999999</v>
      </c>
      <c r="W26" s="273">
        <f t="shared" si="0"/>
        <v>20.29102622614138</v>
      </c>
    </row>
    <row r="27" spans="1:24" ht="39.75" customHeight="1" x14ac:dyDescent="0.25">
      <c r="A27" s="78"/>
      <c r="B27" s="502" t="s">
        <v>77</v>
      </c>
      <c r="C27" s="502"/>
      <c r="D27" s="502"/>
      <c r="E27" s="502"/>
      <c r="F27" s="502"/>
      <c r="G27" s="502"/>
      <c r="H27" s="502"/>
      <c r="I27" s="502"/>
      <c r="J27" s="502"/>
      <c r="K27" s="502"/>
      <c r="L27" s="503"/>
      <c r="M27" s="237">
        <v>1</v>
      </c>
      <c r="N27" s="237">
        <v>3</v>
      </c>
      <c r="O27" s="238">
        <v>0</v>
      </c>
      <c r="P27" s="239">
        <v>0</v>
      </c>
      <c r="Q27" s="504"/>
      <c r="R27" s="505"/>
      <c r="S27" s="240">
        <v>3598.0819999999999</v>
      </c>
      <c r="T27" s="241">
        <v>0</v>
      </c>
      <c r="U27" s="274">
        <v>3598.0819999999999</v>
      </c>
      <c r="V27" s="273">
        <f>+V28</f>
        <v>952.23971000000006</v>
      </c>
      <c r="W27" s="273">
        <f t="shared" si="0"/>
        <v>26.465203127666353</v>
      </c>
    </row>
    <row r="28" spans="1:24" ht="21.75" customHeight="1" x14ac:dyDescent="0.2">
      <c r="A28" s="78"/>
      <c r="B28" s="498" t="s">
        <v>335</v>
      </c>
      <c r="C28" s="498"/>
      <c r="D28" s="498"/>
      <c r="E28" s="498"/>
      <c r="F28" s="498"/>
      <c r="G28" s="498"/>
      <c r="H28" s="498"/>
      <c r="I28" s="498"/>
      <c r="J28" s="498"/>
      <c r="K28" s="498"/>
      <c r="L28" s="499"/>
      <c r="M28" s="242">
        <v>1</v>
      </c>
      <c r="N28" s="242">
        <v>3</v>
      </c>
      <c r="O28" s="243" t="s">
        <v>336</v>
      </c>
      <c r="P28" s="244">
        <v>0</v>
      </c>
      <c r="Q28" s="500"/>
      <c r="R28" s="501"/>
      <c r="S28" s="245">
        <v>3598.0819999999999</v>
      </c>
      <c r="T28" s="246">
        <v>0</v>
      </c>
      <c r="U28" s="164">
        <v>3598.0819999999999</v>
      </c>
      <c r="V28" s="273">
        <f>+V29+V34+V39+V44</f>
        <v>952.23971000000006</v>
      </c>
      <c r="W28" s="273">
        <f t="shared" si="0"/>
        <v>26.465203127666353</v>
      </c>
    </row>
    <row r="29" spans="1:24" ht="21.75" customHeight="1" x14ac:dyDescent="0.2">
      <c r="A29" s="78"/>
      <c r="B29" s="498" t="s">
        <v>337</v>
      </c>
      <c r="C29" s="498"/>
      <c r="D29" s="498"/>
      <c r="E29" s="498"/>
      <c r="F29" s="498"/>
      <c r="G29" s="498"/>
      <c r="H29" s="498"/>
      <c r="I29" s="498"/>
      <c r="J29" s="498"/>
      <c r="K29" s="498"/>
      <c r="L29" s="499"/>
      <c r="M29" s="242">
        <v>1</v>
      </c>
      <c r="N29" s="242">
        <v>3</v>
      </c>
      <c r="O29" s="243" t="s">
        <v>338</v>
      </c>
      <c r="P29" s="244">
        <v>0</v>
      </c>
      <c r="Q29" s="500"/>
      <c r="R29" s="501"/>
      <c r="S29" s="245">
        <v>1122.6389999999999</v>
      </c>
      <c r="T29" s="246">
        <v>0</v>
      </c>
      <c r="U29" s="164">
        <v>1122.6389999999999</v>
      </c>
      <c r="V29" s="273">
        <f>+V30</f>
        <v>269.43986000000001</v>
      </c>
      <c r="W29" s="273">
        <f t="shared" si="0"/>
        <v>24.000578992890862</v>
      </c>
    </row>
    <row r="30" spans="1:24" ht="53.25" customHeight="1" x14ac:dyDescent="0.2">
      <c r="A30" s="78"/>
      <c r="B30" s="498" t="s">
        <v>17</v>
      </c>
      <c r="C30" s="498"/>
      <c r="D30" s="498"/>
      <c r="E30" s="498"/>
      <c r="F30" s="498"/>
      <c r="G30" s="498"/>
      <c r="H30" s="498"/>
      <c r="I30" s="498"/>
      <c r="J30" s="498"/>
      <c r="K30" s="498"/>
      <c r="L30" s="499"/>
      <c r="M30" s="242">
        <v>1</v>
      </c>
      <c r="N30" s="242">
        <v>3</v>
      </c>
      <c r="O30" s="243" t="s">
        <v>338</v>
      </c>
      <c r="P30" s="244" t="s">
        <v>18</v>
      </c>
      <c r="Q30" s="500"/>
      <c r="R30" s="501"/>
      <c r="S30" s="245">
        <v>1122.6389999999999</v>
      </c>
      <c r="T30" s="246">
        <v>0</v>
      </c>
      <c r="U30" s="164">
        <v>1122.6389999999999</v>
      </c>
      <c r="V30" s="273">
        <f>+V31</f>
        <v>269.43986000000001</v>
      </c>
      <c r="W30" s="273">
        <f t="shared" si="0"/>
        <v>24.000578992890862</v>
      </c>
    </row>
    <row r="31" spans="1:24" ht="21.75" customHeight="1" x14ac:dyDescent="0.2">
      <c r="A31" s="78"/>
      <c r="B31" s="498" t="s">
        <v>37</v>
      </c>
      <c r="C31" s="498"/>
      <c r="D31" s="498"/>
      <c r="E31" s="498"/>
      <c r="F31" s="498"/>
      <c r="G31" s="498"/>
      <c r="H31" s="498"/>
      <c r="I31" s="498"/>
      <c r="J31" s="498"/>
      <c r="K31" s="498"/>
      <c r="L31" s="499"/>
      <c r="M31" s="242">
        <v>1</v>
      </c>
      <c r="N31" s="242">
        <v>3</v>
      </c>
      <c r="O31" s="243" t="s">
        <v>338</v>
      </c>
      <c r="P31" s="244" t="s">
        <v>38</v>
      </c>
      <c r="Q31" s="500"/>
      <c r="R31" s="501"/>
      <c r="S31" s="245">
        <v>1122.6389999999999</v>
      </c>
      <c r="T31" s="246">
        <v>0</v>
      </c>
      <c r="U31" s="164">
        <v>1122.6389999999999</v>
      </c>
      <c r="V31" s="273">
        <f>+V32+V33</f>
        <v>269.43986000000001</v>
      </c>
      <c r="W31" s="273">
        <f t="shared" si="0"/>
        <v>24.000578992890862</v>
      </c>
    </row>
    <row r="32" spans="1:24" ht="21.75" customHeight="1" x14ac:dyDescent="0.2">
      <c r="A32" s="78"/>
      <c r="B32" s="498" t="s">
        <v>333</v>
      </c>
      <c r="C32" s="498"/>
      <c r="D32" s="498"/>
      <c r="E32" s="498"/>
      <c r="F32" s="498"/>
      <c r="G32" s="498"/>
      <c r="H32" s="498"/>
      <c r="I32" s="498"/>
      <c r="J32" s="498"/>
      <c r="K32" s="498"/>
      <c r="L32" s="499"/>
      <c r="M32" s="242">
        <v>1</v>
      </c>
      <c r="N32" s="242">
        <v>3</v>
      </c>
      <c r="O32" s="243" t="s">
        <v>338</v>
      </c>
      <c r="P32" s="244" t="s">
        <v>39</v>
      </c>
      <c r="Q32" s="500"/>
      <c r="R32" s="501"/>
      <c r="S32" s="245">
        <v>862.24199999999996</v>
      </c>
      <c r="T32" s="246">
        <v>0</v>
      </c>
      <c r="U32" s="164">
        <v>862.24199999999996</v>
      </c>
      <c r="V32" s="273">
        <f>+'11'!AG336</f>
        <v>206.94306</v>
      </c>
      <c r="W32" s="273">
        <f t="shared" si="0"/>
        <v>24.000577564071339</v>
      </c>
    </row>
    <row r="33" spans="1:23" ht="32.25" customHeight="1" x14ac:dyDescent="0.2">
      <c r="A33" s="78"/>
      <c r="B33" s="498" t="s">
        <v>334</v>
      </c>
      <c r="C33" s="498"/>
      <c r="D33" s="498"/>
      <c r="E33" s="498"/>
      <c r="F33" s="498"/>
      <c r="G33" s="498"/>
      <c r="H33" s="498"/>
      <c r="I33" s="498"/>
      <c r="J33" s="498"/>
      <c r="K33" s="498"/>
      <c r="L33" s="499"/>
      <c r="M33" s="242">
        <v>1</v>
      </c>
      <c r="N33" s="242">
        <v>3</v>
      </c>
      <c r="O33" s="243" t="s">
        <v>338</v>
      </c>
      <c r="P33" s="244" t="s">
        <v>41</v>
      </c>
      <c r="Q33" s="500"/>
      <c r="R33" s="501"/>
      <c r="S33" s="245">
        <v>260.39699999999999</v>
      </c>
      <c r="T33" s="246">
        <v>0</v>
      </c>
      <c r="U33" s="164">
        <v>260.39699999999999</v>
      </c>
      <c r="V33" s="273">
        <f>+'11'!AG337</f>
        <v>62.4968</v>
      </c>
      <c r="W33" s="273">
        <f t="shared" si="0"/>
        <v>24.000583724082844</v>
      </c>
    </row>
    <row r="34" spans="1:23" ht="21.75" customHeight="1" x14ac:dyDescent="0.2">
      <c r="A34" s="78"/>
      <c r="B34" s="498" t="s">
        <v>339</v>
      </c>
      <c r="C34" s="498"/>
      <c r="D34" s="498"/>
      <c r="E34" s="498"/>
      <c r="F34" s="498"/>
      <c r="G34" s="498"/>
      <c r="H34" s="498"/>
      <c r="I34" s="498"/>
      <c r="J34" s="498"/>
      <c r="K34" s="498"/>
      <c r="L34" s="499"/>
      <c r="M34" s="242">
        <v>1</v>
      </c>
      <c r="N34" s="242">
        <v>3</v>
      </c>
      <c r="O34" s="243" t="s">
        <v>340</v>
      </c>
      <c r="P34" s="244">
        <v>0</v>
      </c>
      <c r="Q34" s="500"/>
      <c r="R34" s="501"/>
      <c r="S34" s="245">
        <v>968.26499999999999</v>
      </c>
      <c r="T34" s="246">
        <v>0</v>
      </c>
      <c r="U34" s="164">
        <v>968.26499999999999</v>
      </c>
      <c r="V34" s="273">
        <f>+V35</f>
        <v>264.61736000000002</v>
      </c>
      <c r="W34" s="273">
        <f t="shared" si="0"/>
        <v>27.32902252998921</v>
      </c>
    </row>
    <row r="35" spans="1:23" ht="53.25" customHeight="1" x14ac:dyDescent="0.2">
      <c r="A35" s="78"/>
      <c r="B35" s="498" t="s">
        <v>17</v>
      </c>
      <c r="C35" s="498"/>
      <c r="D35" s="498"/>
      <c r="E35" s="498"/>
      <c r="F35" s="498"/>
      <c r="G35" s="498"/>
      <c r="H35" s="498"/>
      <c r="I35" s="498"/>
      <c r="J35" s="498"/>
      <c r="K35" s="498"/>
      <c r="L35" s="499"/>
      <c r="M35" s="242">
        <v>1</v>
      </c>
      <c r="N35" s="242">
        <v>3</v>
      </c>
      <c r="O35" s="243" t="s">
        <v>340</v>
      </c>
      <c r="P35" s="244" t="s">
        <v>18</v>
      </c>
      <c r="Q35" s="500"/>
      <c r="R35" s="501"/>
      <c r="S35" s="245">
        <v>968.26499999999999</v>
      </c>
      <c r="T35" s="246">
        <v>0</v>
      </c>
      <c r="U35" s="164">
        <v>968.26499999999999</v>
      </c>
      <c r="V35" s="273">
        <f>+V36</f>
        <v>264.61736000000002</v>
      </c>
      <c r="W35" s="273">
        <f t="shared" si="0"/>
        <v>27.32902252998921</v>
      </c>
    </row>
    <row r="36" spans="1:23" ht="21.75" customHeight="1" x14ac:dyDescent="0.2">
      <c r="A36" s="78"/>
      <c r="B36" s="498" t="s">
        <v>37</v>
      </c>
      <c r="C36" s="498"/>
      <c r="D36" s="498"/>
      <c r="E36" s="498"/>
      <c r="F36" s="498"/>
      <c r="G36" s="498"/>
      <c r="H36" s="498"/>
      <c r="I36" s="498"/>
      <c r="J36" s="498"/>
      <c r="K36" s="498"/>
      <c r="L36" s="499"/>
      <c r="M36" s="242">
        <v>1</v>
      </c>
      <c r="N36" s="242">
        <v>3</v>
      </c>
      <c r="O36" s="243" t="s">
        <v>340</v>
      </c>
      <c r="P36" s="244" t="s">
        <v>38</v>
      </c>
      <c r="Q36" s="500"/>
      <c r="R36" s="501"/>
      <c r="S36" s="245">
        <v>968.26499999999999</v>
      </c>
      <c r="T36" s="246">
        <v>0</v>
      </c>
      <c r="U36" s="164">
        <v>968.26499999999999</v>
      </c>
      <c r="V36" s="273">
        <f>+V37+V38</f>
        <v>264.61736000000002</v>
      </c>
      <c r="W36" s="273">
        <f t="shared" si="0"/>
        <v>27.32902252998921</v>
      </c>
    </row>
    <row r="37" spans="1:23" ht="21.75" customHeight="1" x14ac:dyDescent="0.2">
      <c r="A37" s="78"/>
      <c r="B37" s="498" t="s">
        <v>333</v>
      </c>
      <c r="C37" s="498"/>
      <c r="D37" s="498"/>
      <c r="E37" s="498"/>
      <c r="F37" s="498"/>
      <c r="G37" s="498"/>
      <c r="H37" s="498"/>
      <c r="I37" s="498"/>
      <c r="J37" s="498"/>
      <c r="K37" s="498"/>
      <c r="L37" s="499"/>
      <c r="M37" s="242">
        <v>1</v>
      </c>
      <c r="N37" s="242">
        <v>3</v>
      </c>
      <c r="O37" s="243" t="s">
        <v>340</v>
      </c>
      <c r="P37" s="244" t="s">
        <v>39</v>
      </c>
      <c r="Q37" s="500"/>
      <c r="R37" s="501"/>
      <c r="S37" s="245">
        <v>743.67499999999995</v>
      </c>
      <c r="T37" s="246">
        <v>0</v>
      </c>
      <c r="U37" s="164">
        <v>743.67499999999995</v>
      </c>
      <c r="V37" s="273">
        <f>+'11'!AG341</f>
        <v>204.16079999999999</v>
      </c>
      <c r="W37" s="273">
        <f t="shared" si="0"/>
        <v>27.452959962349144</v>
      </c>
    </row>
    <row r="38" spans="1:23" ht="32.25" customHeight="1" x14ac:dyDescent="0.2">
      <c r="A38" s="78"/>
      <c r="B38" s="498" t="s">
        <v>334</v>
      </c>
      <c r="C38" s="498"/>
      <c r="D38" s="498"/>
      <c r="E38" s="498"/>
      <c r="F38" s="498"/>
      <c r="G38" s="498"/>
      <c r="H38" s="498"/>
      <c r="I38" s="498"/>
      <c r="J38" s="498"/>
      <c r="K38" s="498"/>
      <c r="L38" s="499"/>
      <c r="M38" s="242">
        <v>1</v>
      </c>
      <c r="N38" s="242">
        <v>3</v>
      </c>
      <c r="O38" s="243" t="s">
        <v>340</v>
      </c>
      <c r="P38" s="244" t="s">
        <v>41</v>
      </c>
      <c r="Q38" s="500"/>
      <c r="R38" s="501"/>
      <c r="S38" s="245">
        <v>224.59</v>
      </c>
      <c r="T38" s="246">
        <v>0</v>
      </c>
      <c r="U38" s="164">
        <v>224.59</v>
      </c>
      <c r="V38" s="273">
        <f>+'11'!AG342</f>
        <v>60.456560000000003</v>
      </c>
      <c r="W38" s="273">
        <f t="shared" si="0"/>
        <v>26.918633955207266</v>
      </c>
    </row>
    <row r="39" spans="1:23" ht="42.75" customHeight="1" x14ac:dyDescent="0.2">
      <c r="A39" s="78"/>
      <c r="B39" s="498" t="s">
        <v>341</v>
      </c>
      <c r="C39" s="498"/>
      <c r="D39" s="498"/>
      <c r="E39" s="498"/>
      <c r="F39" s="498"/>
      <c r="G39" s="498"/>
      <c r="H39" s="498"/>
      <c r="I39" s="498"/>
      <c r="J39" s="498"/>
      <c r="K39" s="498"/>
      <c r="L39" s="499"/>
      <c r="M39" s="242">
        <v>1</v>
      </c>
      <c r="N39" s="242">
        <v>3</v>
      </c>
      <c r="O39" s="243" t="s">
        <v>342</v>
      </c>
      <c r="P39" s="244">
        <v>0</v>
      </c>
      <c r="Q39" s="500"/>
      <c r="R39" s="501"/>
      <c r="S39" s="245">
        <v>779.33799999999997</v>
      </c>
      <c r="T39" s="246">
        <v>0</v>
      </c>
      <c r="U39" s="164">
        <v>779.33799999999997</v>
      </c>
      <c r="V39" s="273">
        <f>+V40</f>
        <v>189.79874999999998</v>
      </c>
      <c r="W39" s="273">
        <f t="shared" si="0"/>
        <v>24.353842620275156</v>
      </c>
    </row>
    <row r="40" spans="1:23" ht="53.25" customHeight="1" x14ac:dyDescent="0.2">
      <c r="A40" s="78"/>
      <c r="B40" s="498" t="s">
        <v>17</v>
      </c>
      <c r="C40" s="498"/>
      <c r="D40" s="498"/>
      <c r="E40" s="498"/>
      <c r="F40" s="498"/>
      <c r="G40" s="498"/>
      <c r="H40" s="498"/>
      <c r="I40" s="498"/>
      <c r="J40" s="498"/>
      <c r="K40" s="498"/>
      <c r="L40" s="499"/>
      <c r="M40" s="242">
        <v>1</v>
      </c>
      <c r="N40" s="242">
        <v>3</v>
      </c>
      <c r="O40" s="243" t="s">
        <v>342</v>
      </c>
      <c r="P40" s="244" t="s">
        <v>18</v>
      </c>
      <c r="Q40" s="500"/>
      <c r="R40" s="501"/>
      <c r="S40" s="245">
        <v>779.33799999999997</v>
      </c>
      <c r="T40" s="246">
        <v>0</v>
      </c>
      <c r="U40" s="164">
        <v>779.33799999999997</v>
      </c>
      <c r="V40" s="273">
        <f>+V41</f>
        <v>189.79874999999998</v>
      </c>
      <c r="W40" s="273">
        <f t="shared" si="0"/>
        <v>24.353842620275156</v>
      </c>
    </row>
    <row r="41" spans="1:23" ht="21.75" customHeight="1" x14ac:dyDescent="0.2">
      <c r="A41" s="78"/>
      <c r="B41" s="498" t="s">
        <v>37</v>
      </c>
      <c r="C41" s="498"/>
      <c r="D41" s="498"/>
      <c r="E41" s="498"/>
      <c r="F41" s="498"/>
      <c r="G41" s="498"/>
      <c r="H41" s="498"/>
      <c r="I41" s="498"/>
      <c r="J41" s="498"/>
      <c r="K41" s="498"/>
      <c r="L41" s="499"/>
      <c r="M41" s="242">
        <v>1</v>
      </c>
      <c r="N41" s="242">
        <v>3</v>
      </c>
      <c r="O41" s="243" t="s">
        <v>342</v>
      </c>
      <c r="P41" s="244" t="s">
        <v>38</v>
      </c>
      <c r="Q41" s="500"/>
      <c r="R41" s="501"/>
      <c r="S41" s="245">
        <v>779.33799999999997</v>
      </c>
      <c r="T41" s="246">
        <v>0</v>
      </c>
      <c r="U41" s="164">
        <v>779.33799999999997</v>
      </c>
      <c r="V41" s="273">
        <f>+V42+V43</f>
        <v>189.79874999999998</v>
      </c>
      <c r="W41" s="273">
        <f t="shared" si="0"/>
        <v>24.353842620275156</v>
      </c>
    </row>
    <row r="42" spans="1:23" ht="21.75" customHeight="1" x14ac:dyDescent="0.2">
      <c r="A42" s="78"/>
      <c r="B42" s="498" t="s">
        <v>333</v>
      </c>
      <c r="C42" s="498"/>
      <c r="D42" s="498"/>
      <c r="E42" s="498"/>
      <c r="F42" s="498"/>
      <c r="G42" s="498"/>
      <c r="H42" s="498"/>
      <c r="I42" s="498"/>
      <c r="J42" s="498"/>
      <c r="K42" s="498"/>
      <c r="L42" s="499"/>
      <c r="M42" s="242">
        <v>1</v>
      </c>
      <c r="N42" s="242">
        <v>3</v>
      </c>
      <c r="O42" s="243" t="s">
        <v>342</v>
      </c>
      <c r="P42" s="244" t="s">
        <v>39</v>
      </c>
      <c r="Q42" s="500"/>
      <c r="R42" s="501"/>
      <c r="S42" s="245">
        <v>598.57000000000005</v>
      </c>
      <c r="T42" s="246">
        <v>0</v>
      </c>
      <c r="U42" s="164">
        <v>598.57000000000005</v>
      </c>
      <c r="V42" s="273">
        <f>+'11'!AG346</f>
        <v>145.77476999999999</v>
      </c>
      <c r="W42" s="273">
        <f t="shared" si="0"/>
        <v>24.353838314649913</v>
      </c>
    </row>
    <row r="43" spans="1:23" ht="32.25" customHeight="1" x14ac:dyDescent="0.2">
      <c r="A43" s="78"/>
      <c r="B43" s="498" t="s">
        <v>334</v>
      </c>
      <c r="C43" s="498"/>
      <c r="D43" s="498"/>
      <c r="E43" s="498"/>
      <c r="F43" s="498"/>
      <c r="G43" s="498"/>
      <c r="H43" s="498"/>
      <c r="I43" s="498"/>
      <c r="J43" s="498"/>
      <c r="K43" s="498"/>
      <c r="L43" s="499"/>
      <c r="M43" s="242">
        <v>1</v>
      </c>
      <c r="N43" s="242">
        <v>3</v>
      </c>
      <c r="O43" s="243" t="s">
        <v>342</v>
      </c>
      <c r="P43" s="244" t="s">
        <v>41</v>
      </c>
      <c r="Q43" s="500"/>
      <c r="R43" s="501"/>
      <c r="S43" s="245">
        <v>180.768</v>
      </c>
      <c r="T43" s="246">
        <v>0</v>
      </c>
      <c r="U43" s="164">
        <v>180.768</v>
      </c>
      <c r="V43" s="273">
        <f>+'11'!AG347</f>
        <v>44.023980000000002</v>
      </c>
      <c r="W43" s="273">
        <f t="shared" si="0"/>
        <v>24.35385687732342</v>
      </c>
    </row>
    <row r="44" spans="1:23" ht="32.25" customHeight="1" x14ac:dyDescent="0.2">
      <c r="A44" s="78"/>
      <c r="B44" s="498" t="s">
        <v>343</v>
      </c>
      <c r="C44" s="498"/>
      <c r="D44" s="498"/>
      <c r="E44" s="498"/>
      <c r="F44" s="498"/>
      <c r="G44" s="498"/>
      <c r="H44" s="498"/>
      <c r="I44" s="498"/>
      <c r="J44" s="498"/>
      <c r="K44" s="498"/>
      <c r="L44" s="499"/>
      <c r="M44" s="242">
        <v>1</v>
      </c>
      <c r="N44" s="242">
        <v>3</v>
      </c>
      <c r="O44" s="243" t="s">
        <v>344</v>
      </c>
      <c r="P44" s="244">
        <v>0</v>
      </c>
      <c r="Q44" s="500"/>
      <c r="R44" s="501"/>
      <c r="S44" s="245">
        <v>727.84</v>
      </c>
      <c r="T44" s="246">
        <v>0</v>
      </c>
      <c r="U44" s="164">
        <v>727.84</v>
      </c>
      <c r="V44" s="273">
        <f>+V45+V49</f>
        <v>228.38374000000002</v>
      </c>
      <c r="W44" s="273">
        <f t="shared" si="0"/>
        <v>31.378289184436142</v>
      </c>
    </row>
    <row r="45" spans="1:23" ht="21.75" customHeight="1" x14ac:dyDescent="0.2">
      <c r="A45" s="78"/>
      <c r="B45" s="498" t="s">
        <v>345</v>
      </c>
      <c r="C45" s="498"/>
      <c r="D45" s="498"/>
      <c r="E45" s="498"/>
      <c r="F45" s="498"/>
      <c r="G45" s="498"/>
      <c r="H45" s="498"/>
      <c r="I45" s="498"/>
      <c r="J45" s="498"/>
      <c r="K45" s="498"/>
      <c r="L45" s="499"/>
      <c r="M45" s="242">
        <v>1</v>
      </c>
      <c r="N45" s="242">
        <v>3</v>
      </c>
      <c r="O45" s="243" t="s">
        <v>344</v>
      </c>
      <c r="P45" s="244" t="s">
        <v>24</v>
      </c>
      <c r="Q45" s="500"/>
      <c r="R45" s="501"/>
      <c r="S45" s="245">
        <v>717.84</v>
      </c>
      <c r="T45" s="246">
        <v>0</v>
      </c>
      <c r="U45" s="164">
        <v>717.84</v>
      </c>
      <c r="V45" s="273">
        <f>+V46</f>
        <v>224.30474000000001</v>
      </c>
      <c r="W45" s="273">
        <f t="shared" si="0"/>
        <v>31.247177644043241</v>
      </c>
    </row>
    <row r="46" spans="1:23" ht="21.75" customHeight="1" x14ac:dyDescent="0.2">
      <c r="A46" s="78"/>
      <c r="B46" s="498" t="s">
        <v>346</v>
      </c>
      <c r="C46" s="498"/>
      <c r="D46" s="498"/>
      <c r="E46" s="498"/>
      <c r="F46" s="498"/>
      <c r="G46" s="498"/>
      <c r="H46" s="498"/>
      <c r="I46" s="498"/>
      <c r="J46" s="498"/>
      <c r="K46" s="498"/>
      <c r="L46" s="499"/>
      <c r="M46" s="242">
        <v>1</v>
      </c>
      <c r="N46" s="242">
        <v>3</v>
      </c>
      <c r="O46" s="243" t="s">
        <v>344</v>
      </c>
      <c r="P46" s="244" t="s">
        <v>26</v>
      </c>
      <c r="Q46" s="500"/>
      <c r="R46" s="501"/>
      <c r="S46" s="245">
        <v>717.84</v>
      </c>
      <c r="T46" s="246">
        <v>0</v>
      </c>
      <c r="U46" s="164">
        <v>717.84</v>
      </c>
      <c r="V46" s="273">
        <f>+V47+V48</f>
        <v>224.30474000000001</v>
      </c>
      <c r="W46" s="273">
        <f t="shared" si="0"/>
        <v>31.247177644043241</v>
      </c>
    </row>
    <row r="47" spans="1:23" ht="21.75" customHeight="1" x14ac:dyDescent="0.2">
      <c r="A47" s="78"/>
      <c r="B47" s="498" t="s">
        <v>347</v>
      </c>
      <c r="C47" s="498"/>
      <c r="D47" s="498"/>
      <c r="E47" s="498"/>
      <c r="F47" s="498"/>
      <c r="G47" s="498"/>
      <c r="H47" s="498"/>
      <c r="I47" s="498"/>
      <c r="J47" s="498"/>
      <c r="K47" s="498"/>
      <c r="L47" s="499"/>
      <c r="M47" s="242">
        <v>1</v>
      </c>
      <c r="N47" s="242">
        <v>3</v>
      </c>
      <c r="O47" s="243" t="s">
        <v>344</v>
      </c>
      <c r="P47" s="244" t="s">
        <v>27</v>
      </c>
      <c r="Q47" s="500"/>
      <c r="R47" s="501"/>
      <c r="S47" s="245">
        <v>111.643</v>
      </c>
      <c r="T47" s="246">
        <v>0</v>
      </c>
      <c r="U47" s="164">
        <v>111.643</v>
      </c>
      <c r="V47" s="273">
        <f>+'11'!AG351</f>
        <v>28.099740000000001</v>
      </c>
      <c r="W47" s="273">
        <f t="shared" si="0"/>
        <v>25.169280653511638</v>
      </c>
    </row>
    <row r="48" spans="1:23" ht="12.75" customHeight="1" x14ac:dyDescent="0.2">
      <c r="A48" s="78"/>
      <c r="B48" s="498" t="s">
        <v>348</v>
      </c>
      <c r="C48" s="498"/>
      <c r="D48" s="498"/>
      <c r="E48" s="498"/>
      <c r="F48" s="498"/>
      <c r="G48" s="498"/>
      <c r="H48" s="498"/>
      <c r="I48" s="498"/>
      <c r="J48" s="498"/>
      <c r="K48" s="498"/>
      <c r="L48" s="499"/>
      <c r="M48" s="242">
        <v>1</v>
      </c>
      <c r="N48" s="242">
        <v>3</v>
      </c>
      <c r="O48" s="243" t="s">
        <v>344</v>
      </c>
      <c r="P48" s="244" t="s">
        <v>28</v>
      </c>
      <c r="Q48" s="500"/>
      <c r="R48" s="501"/>
      <c r="S48" s="245">
        <v>606.197</v>
      </c>
      <c r="T48" s="246">
        <v>0</v>
      </c>
      <c r="U48" s="164">
        <v>606.197</v>
      </c>
      <c r="V48" s="273">
        <f>+'11'!AG352</f>
        <v>196.20500000000001</v>
      </c>
      <c r="W48" s="273">
        <f t="shared" si="0"/>
        <v>32.366540909968208</v>
      </c>
    </row>
    <row r="49" spans="1:23" ht="12.75" customHeight="1" x14ac:dyDescent="0.2">
      <c r="A49" s="78"/>
      <c r="B49" s="498" t="s">
        <v>29</v>
      </c>
      <c r="C49" s="498"/>
      <c r="D49" s="498"/>
      <c r="E49" s="498"/>
      <c r="F49" s="498"/>
      <c r="G49" s="498"/>
      <c r="H49" s="498"/>
      <c r="I49" s="498"/>
      <c r="J49" s="498"/>
      <c r="K49" s="498"/>
      <c r="L49" s="499"/>
      <c r="M49" s="242">
        <v>1</v>
      </c>
      <c r="N49" s="242">
        <v>3</v>
      </c>
      <c r="O49" s="243" t="s">
        <v>344</v>
      </c>
      <c r="P49" s="244" t="s">
        <v>30</v>
      </c>
      <c r="Q49" s="500"/>
      <c r="R49" s="501"/>
      <c r="S49" s="245">
        <v>10</v>
      </c>
      <c r="T49" s="246">
        <v>0</v>
      </c>
      <c r="U49" s="164">
        <v>10</v>
      </c>
      <c r="V49" s="273">
        <f>+V50</f>
        <v>4.0789999999999997</v>
      </c>
      <c r="W49" s="273">
        <f t="shared" si="0"/>
        <v>40.79</v>
      </c>
    </row>
    <row r="50" spans="1:23" ht="12.75" customHeight="1" x14ac:dyDescent="0.2">
      <c r="A50" s="78"/>
      <c r="B50" s="498" t="s">
        <v>349</v>
      </c>
      <c r="C50" s="498"/>
      <c r="D50" s="498"/>
      <c r="E50" s="498"/>
      <c r="F50" s="498"/>
      <c r="G50" s="498"/>
      <c r="H50" s="498"/>
      <c r="I50" s="498"/>
      <c r="J50" s="498"/>
      <c r="K50" s="498"/>
      <c r="L50" s="499"/>
      <c r="M50" s="242">
        <v>1</v>
      </c>
      <c r="N50" s="242">
        <v>3</v>
      </c>
      <c r="O50" s="243" t="s">
        <v>344</v>
      </c>
      <c r="P50" s="244" t="s">
        <v>31</v>
      </c>
      <c r="Q50" s="500"/>
      <c r="R50" s="501"/>
      <c r="S50" s="245">
        <v>10</v>
      </c>
      <c r="T50" s="246">
        <v>0</v>
      </c>
      <c r="U50" s="164">
        <v>10</v>
      </c>
      <c r="V50" s="273">
        <f>+V51+V52+V53</f>
        <v>4.0789999999999997</v>
      </c>
      <c r="W50" s="273">
        <f t="shared" si="0"/>
        <v>40.79</v>
      </c>
    </row>
    <row r="51" spans="1:23" ht="21.75" customHeight="1" x14ac:dyDescent="0.2">
      <c r="A51" s="78"/>
      <c r="B51" s="498" t="s">
        <v>32</v>
      </c>
      <c r="C51" s="498"/>
      <c r="D51" s="498"/>
      <c r="E51" s="498"/>
      <c r="F51" s="498"/>
      <c r="G51" s="498"/>
      <c r="H51" s="498"/>
      <c r="I51" s="498"/>
      <c r="J51" s="498"/>
      <c r="K51" s="498"/>
      <c r="L51" s="499"/>
      <c r="M51" s="242">
        <v>1</v>
      </c>
      <c r="N51" s="242">
        <v>3</v>
      </c>
      <c r="O51" s="243" t="s">
        <v>344</v>
      </c>
      <c r="P51" s="244" t="s">
        <v>33</v>
      </c>
      <c r="Q51" s="500"/>
      <c r="R51" s="501"/>
      <c r="S51" s="245">
        <v>6.5</v>
      </c>
      <c r="T51" s="246">
        <v>0</v>
      </c>
      <c r="U51" s="164">
        <v>6.5</v>
      </c>
      <c r="V51" s="273">
        <f>+'11'!AG355</f>
        <v>3.9510000000000001</v>
      </c>
      <c r="W51" s="273">
        <f t="shared" si="0"/>
        <v>60.784615384615378</v>
      </c>
    </row>
    <row r="52" spans="1:23" ht="12.75" customHeight="1" x14ac:dyDescent="0.2">
      <c r="A52" s="78"/>
      <c r="B52" s="498" t="s">
        <v>350</v>
      </c>
      <c r="C52" s="498"/>
      <c r="D52" s="498"/>
      <c r="E52" s="498"/>
      <c r="F52" s="498"/>
      <c r="G52" s="498"/>
      <c r="H52" s="498"/>
      <c r="I52" s="498"/>
      <c r="J52" s="498"/>
      <c r="K52" s="498"/>
      <c r="L52" s="499"/>
      <c r="M52" s="242">
        <v>1</v>
      </c>
      <c r="N52" s="242">
        <v>3</v>
      </c>
      <c r="O52" s="243" t="s">
        <v>344</v>
      </c>
      <c r="P52" s="244" t="s">
        <v>34</v>
      </c>
      <c r="Q52" s="500"/>
      <c r="R52" s="501"/>
      <c r="S52" s="245">
        <v>2</v>
      </c>
      <c r="T52" s="246">
        <v>0</v>
      </c>
      <c r="U52" s="164">
        <v>2</v>
      </c>
      <c r="V52" s="273">
        <f>+'11'!AG356</f>
        <v>0.128</v>
      </c>
      <c r="W52" s="273">
        <f t="shared" si="0"/>
        <v>6.4</v>
      </c>
    </row>
    <row r="53" spans="1:23" ht="12.75" customHeight="1" x14ac:dyDescent="0.2">
      <c r="A53" s="78"/>
      <c r="B53" s="498" t="s">
        <v>81</v>
      </c>
      <c r="C53" s="498"/>
      <c r="D53" s="498"/>
      <c r="E53" s="498"/>
      <c r="F53" s="498"/>
      <c r="G53" s="498"/>
      <c r="H53" s="498"/>
      <c r="I53" s="498"/>
      <c r="J53" s="498"/>
      <c r="K53" s="498"/>
      <c r="L53" s="499"/>
      <c r="M53" s="242">
        <v>1</v>
      </c>
      <c r="N53" s="242">
        <v>3</v>
      </c>
      <c r="O53" s="243" t="s">
        <v>344</v>
      </c>
      <c r="P53" s="244" t="s">
        <v>82</v>
      </c>
      <c r="Q53" s="500"/>
      <c r="R53" s="501"/>
      <c r="S53" s="245">
        <v>1.5</v>
      </c>
      <c r="T53" s="246">
        <v>0</v>
      </c>
      <c r="U53" s="164">
        <v>1.5</v>
      </c>
      <c r="V53" s="273">
        <f>+'11'!AG357</f>
        <v>0</v>
      </c>
      <c r="W53" s="273">
        <f t="shared" si="0"/>
        <v>0</v>
      </c>
    </row>
    <row r="54" spans="1:23" ht="39.75" customHeight="1" x14ac:dyDescent="0.25">
      <c r="A54" s="78"/>
      <c r="B54" s="502" t="s">
        <v>80</v>
      </c>
      <c r="C54" s="502"/>
      <c r="D54" s="502"/>
      <c r="E54" s="502"/>
      <c r="F54" s="502"/>
      <c r="G54" s="502"/>
      <c r="H54" s="502"/>
      <c r="I54" s="502"/>
      <c r="J54" s="502"/>
      <c r="K54" s="502"/>
      <c r="L54" s="503"/>
      <c r="M54" s="237">
        <v>1</v>
      </c>
      <c r="N54" s="237">
        <v>4</v>
      </c>
      <c r="O54" s="238">
        <v>0</v>
      </c>
      <c r="P54" s="239">
        <v>0</v>
      </c>
      <c r="Q54" s="504"/>
      <c r="R54" s="505"/>
      <c r="S54" s="240">
        <v>17919.289000000001</v>
      </c>
      <c r="T54" s="241">
        <v>0</v>
      </c>
      <c r="U54" s="274">
        <v>17919.289000000001</v>
      </c>
      <c r="V54" s="273">
        <f>+V55+V60</f>
        <v>4851.4750100000001</v>
      </c>
      <c r="W54" s="273">
        <f t="shared" si="0"/>
        <v>27.0740374241411</v>
      </c>
    </row>
    <row r="55" spans="1:23" ht="32.25" customHeight="1" x14ac:dyDescent="0.2">
      <c r="A55" s="78"/>
      <c r="B55" s="498" t="s">
        <v>156</v>
      </c>
      <c r="C55" s="498"/>
      <c r="D55" s="498"/>
      <c r="E55" s="498"/>
      <c r="F55" s="498"/>
      <c r="G55" s="498"/>
      <c r="H55" s="498"/>
      <c r="I55" s="498"/>
      <c r="J55" s="498"/>
      <c r="K55" s="498"/>
      <c r="L55" s="499"/>
      <c r="M55" s="242">
        <v>1</v>
      </c>
      <c r="N55" s="242">
        <v>4</v>
      </c>
      <c r="O55" s="243" t="s">
        <v>445</v>
      </c>
      <c r="P55" s="244">
        <v>0</v>
      </c>
      <c r="Q55" s="500"/>
      <c r="R55" s="501"/>
      <c r="S55" s="245">
        <v>55</v>
      </c>
      <c r="T55" s="246">
        <v>0</v>
      </c>
      <c r="U55" s="164">
        <v>55</v>
      </c>
      <c r="V55" s="273">
        <f>+V56</f>
        <v>0</v>
      </c>
      <c r="W55" s="273">
        <f t="shared" si="0"/>
        <v>0</v>
      </c>
    </row>
    <row r="56" spans="1:23" ht="21.75" customHeight="1" x14ac:dyDescent="0.2">
      <c r="A56" s="78"/>
      <c r="B56" s="498" t="s">
        <v>25</v>
      </c>
      <c r="C56" s="498"/>
      <c r="D56" s="498"/>
      <c r="E56" s="498"/>
      <c r="F56" s="498"/>
      <c r="G56" s="498"/>
      <c r="H56" s="498"/>
      <c r="I56" s="498"/>
      <c r="J56" s="498"/>
      <c r="K56" s="498"/>
      <c r="L56" s="499"/>
      <c r="M56" s="242">
        <v>1</v>
      </c>
      <c r="N56" s="242">
        <v>4</v>
      </c>
      <c r="O56" s="243" t="s">
        <v>446</v>
      </c>
      <c r="P56" s="244">
        <v>0</v>
      </c>
      <c r="Q56" s="500"/>
      <c r="R56" s="501"/>
      <c r="S56" s="245">
        <v>55</v>
      </c>
      <c r="T56" s="246">
        <v>0</v>
      </c>
      <c r="U56" s="164">
        <v>55</v>
      </c>
      <c r="V56" s="273">
        <f>+V57</f>
        <v>0</v>
      </c>
      <c r="W56" s="273">
        <f t="shared" si="0"/>
        <v>0</v>
      </c>
    </row>
    <row r="57" spans="1:23" ht="21.75" customHeight="1" x14ac:dyDescent="0.2">
      <c r="A57" s="78"/>
      <c r="B57" s="498" t="s">
        <v>345</v>
      </c>
      <c r="C57" s="498"/>
      <c r="D57" s="498"/>
      <c r="E57" s="498"/>
      <c r="F57" s="498"/>
      <c r="G57" s="498"/>
      <c r="H57" s="498"/>
      <c r="I57" s="498"/>
      <c r="J57" s="498"/>
      <c r="K57" s="498"/>
      <c r="L57" s="499"/>
      <c r="M57" s="242">
        <v>1</v>
      </c>
      <c r="N57" s="242">
        <v>4</v>
      </c>
      <c r="O57" s="243" t="s">
        <v>446</v>
      </c>
      <c r="P57" s="244" t="s">
        <v>24</v>
      </c>
      <c r="Q57" s="500"/>
      <c r="R57" s="501"/>
      <c r="S57" s="245">
        <v>55</v>
      </c>
      <c r="T57" s="246">
        <v>0</v>
      </c>
      <c r="U57" s="164">
        <v>55</v>
      </c>
      <c r="V57" s="273">
        <f>+V58</f>
        <v>0</v>
      </c>
      <c r="W57" s="273">
        <f t="shared" si="0"/>
        <v>0</v>
      </c>
    </row>
    <row r="58" spans="1:23" ht="21.75" customHeight="1" x14ac:dyDescent="0.2">
      <c r="A58" s="78"/>
      <c r="B58" s="498" t="s">
        <v>346</v>
      </c>
      <c r="C58" s="498"/>
      <c r="D58" s="498"/>
      <c r="E58" s="498"/>
      <c r="F58" s="498"/>
      <c r="G58" s="498"/>
      <c r="H58" s="498"/>
      <c r="I58" s="498"/>
      <c r="J58" s="498"/>
      <c r="K58" s="498"/>
      <c r="L58" s="499"/>
      <c r="M58" s="242">
        <v>1</v>
      </c>
      <c r="N58" s="242">
        <v>4</v>
      </c>
      <c r="O58" s="243" t="s">
        <v>446</v>
      </c>
      <c r="P58" s="244" t="s">
        <v>26</v>
      </c>
      <c r="Q58" s="500"/>
      <c r="R58" s="501"/>
      <c r="S58" s="245">
        <v>55</v>
      </c>
      <c r="T58" s="246">
        <v>0</v>
      </c>
      <c r="U58" s="164">
        <v>55</v>
      </c>
      <c r="V58" s="273">
        <f>+V59</f>
        <v>0</v>
      </c>
      <c r="W58" s="273">
        <f t="shared" si="0"/>
        <v>0</v>
      </c>
    </row>
    <row r="59" spans="1:23" ht="12.75" customHeight="1" x14ac:dyDescent="0.2">
      <c r="A59" s="78"/>
      <c r="B59" s="498" t="s">
        <v>348</v>
      </c>
      <c r="C59" s="498"/>
      <c r="D59" s="498"/>
      <c r="E59" s="498"/>
      <c r="F59" s="498"/>
      <c r="G59" s="498"/>
      <c r="H59" s="498"/>
      <c r="I59" s="498"/>
      <c r="J59" s="498"/>
      <c r="K59" s="498"/>
      <c r="L59" s="499"/>
      <c r="M59" s="242">
        <v>1</v>
      </c>
      <c r="N59" s="242">
        <v>4</v>
      </c>
      <c r="O59" s="243" t="s">
        <v>446</v>
      </c>
      <c r="P59" s="244" t="s">
        <v>28</v>
      </c>
      <c r="Q59" s="500"/>
      <c r="R59" s="501"/>
      <c r="S59" s="245">
        <v>55</v>
      </c>
      <c r="T59" s="246">
        <v>0</v>
      </c>
      <c r="U59" s="164">
        <v>55</v>
      </c>
      <c r="V59" s="273"/>
      <c r="W59" s="273">
        <f t="shared" si="0"/>
        <v>0</v>
      </c>
    </row>
    <row r="60" spans="1:23" ht="32.25" customHeight="1" x14ac:dyDescent="0.2">
      <c r="A60" s="78"/>
      <c r="B60" s="498" t="s">
        <v>329</v>
      </c>
      <c r="C60" s="498"/>
      <c r="D60" s="498"/>
      <c r="E60" s="498"/>
      <c r="F60" s="498"/>
      <c r="G60" s="498"/>
      <c r="H60" s="498"/>
      <c r="I60" s="498"/>
      <c r="J60" s="498"/>
      <c r="K60" s="498"/>
      <c r="L60" s="499"/>
      <c r="M60" s="242">
        <v>1</v>
      </c>
      <c r="N60" s="242">
        <v>4</v>
      </c>
      <c r="O60" s="243" t="s">
        <v>330</v>
      </c>
      <c r="P60" s="244">
        <v>0</v>
      </c>
      <c r="Q60" s="500"/>
      <c r="R60" s="501"/>
      <c r="S60" s="245">
        <v>17864.289000000001</v>
      </c>
      <c r="T60" s="246">
        <v>0</v>
      </c>
      <c r="U60" s="164">
        <v>17864.289000000001</v>
      </c>
      <c r="V60" s="273">
        <f>+V61+V66</f>
        <v>4851.4750100000001</v>
      </c>
      <c r="W60" s="273">
        <f t="shared" si="0"/>
        <v>27.157392102198973</v>
      </c>
    </row>
    <row r="61" spans="1:23" ht="21.75" customHeight="1" x14ac:dyDescent="0.2">
      <c r="A61" s="78"/>
      <c r="B61" s="498" t="s">
        <v>352</v>
      </c>
      <c r="C61" s="498"/>
      <c r="D61" s="498"/>
      <c r="E61" s="498"/>
      <c r="F61" s="498"/>
      <c r="G61" s="498"/>
      <c r="H61" s="498"/>
      <c r="I61" s="498"/>
      <c r="J61" s="498"/>
      <c r="K61" s="498"/>
      <c r="L61" s="499"/>
      <c r="M61" s="242">
        <v>1</v>
      </c>
      <c r="N61" s="242">
        <v>4</v>
      </c>
      <c r="O61" s="243" t="s">
        <v>353</v>
      </c>
      <c r="P61" s="244">
        <v>0</v>
      </c>
      <c r="Q61" s="500"/>
      <c r="R61" s="501"/>
      <c r="S61" s="245">
        <v>12458.701999999999</v>
      </c>
      <c r="T61" s="246">
        <v>0</v>
      </c>
      <c r="U61" s="164">
        <v>12458.701999999999</v>
      </c>
      <c r="V61" s="273">
        <f>+V62</f>
        <v>3416.7050300000001</v>
      </c>
      <c r="W61" s="273">
        <f t="shared" si="0"/>
        <v>27.424245559449133</v>
      </c>
    </row>
    <row r="62" spans="1:23" ht="53.25" customHeight="1" x14ac:dyDescent="0.2">
      <c r="A62" s="78"/>
      <c r="B62" s="498" t="s">
        <v>17</v>
      </c>
      <c r="C62" s="498"/>
      <c r="D62" s="498"/>
      <c r="E62" s="498"/>
      <c r="F62" s="498"/>
      <c r="G62" s="498"/>
      <c r="H62" s="498"/>
      <c r="I62" s="498"/>
      <c r="J62" s="498"/>
      <c r="K62" s="498"/>
      <c r="L62" s="499"/>
      <c r="M62" s="242">
        <v>1</v>
      </c>
      <c r="N62" s="242">
        <v>4</v>
      </c>
      <c r="O62" s="243" t="s">
        <v>353</v>
      </c>
      <c r="P62" s="244" t="s">
        <v>18</v>
      </c>
      <c r="Q62" s="500"/>
      <c r="R62" s="501"/>
      <c r="S62" s="245">
        <v>12458.701999999999</v>
      </c>
      <c r="T62" s="246">
        <v>0</v>
      </c>
      <c r="U62" s="164">
        <v>12458.701999999999</v>
      </c>
      <c r="V62" s="273">
        <f>+V63</f>
        <v>3416.7050300000001</v>
      </c>
      <c r="W62" s="273">
        <f t="shared" si="0"/>
        <v>27.424245559449133</v>
      </c>
    </row>
    <row r="63" spans="1:23" ht="21.75" customHeight="1" x14ac:dyDescent="0.2">
      <c r="A63" s="78"/>
      <c r="B63" s="498" t="s">
        <v>37</v>
      </c>
      <c r="C63" s="498"/>
      <c r="D63" s="498"/>
      <c r="E63" s="498"/>
      <c r="F63" s="498"/>
      <c r="G63" s="498"/>
      <c r="H63" s="498"/>
      <c r="I63" s="498"/>
      <c r="J63" s="498"/>
      <c r="K63" s="498"/>
      <c r="L63" s="499"/>
      <c r="M63" s="242">
        <v>1</v>
      </c>
      <c r="N63" s="242">
        <v>4</v>
      </c>
      <c r="O63" s="243" t="s">
        <v>353</v>
      </c>
      <c r="P63" s="244" t="s">
        <v>38</v>
      </c>
      <c r="Q63" s="500"/>
      <c r="R63" s="501"/>
      <c r="S63" s="245">
        <v>12458.701999999999</v>
      </c>
      <c r="T63" s="246">
        <v>0</v>
      </c>
      <c r="U63" s="164">
        <v>12458.701999999999</v>
      </c>
      <c r="V63" s="273">
        <f>+V64+V65</f>
        <v>3416.7050300000001</v>
      </c>
      <c r="W63" s="273">
        <f t="shared" si="0"/>
        <v>27.424245559449133</v>
      </c>
    </row>
    <row r="64" spans="1:23" ht="21.75" customHeight="1" x14ac:dyDescent="0.2">
      <c r="A64" s="78"/>
      <c r="B64" s="498" t="s">
        <v>333</v>
      </c>
      <c r="C64" s="498"/>
      <c r="D64" s="498"/>
      <c r="E64" s="498"/>
      <c r="F64" s="498"/>
      <c r="G64" s="498"/>
      <c r="H64" s="498"/>
      <c r="I64" s="498"/>
      <c r="J64" s="498"/>
      <c r="K64" s="498"/>
      <c r="L64" s="499"/>
      <c r="M64" s="242">
        <v>1</v>
      </c>
      <c r="N64" s="242">
        <v>4</v>
      </c>
      <c r="O64" s="243" t="s">
        <v>353</v>
      </c>
      <c r="P64" s="244" t="s">
        <v>39</v>
      </c>
      <c r="Q64" s="500"/>
      <c r="R64" s="501"/>
      <c r="S64" s="245">
        <v>9568.8960000000006</v>
      </c>
      <c r="T64" s="246">
        <v>0</v>
      </c>
      <c r="U64" s="164">
        <v>9568.8960000000006</v>
      </c>
      <c r="V64" s="273">
        <f>+'11'!AG399</f>
        <v>2632.11742</v>
      </c>
      <c r="W64" s="273">
        <f t="shared" si="0"/>
        <v>27.507012512206213</v>
      </c>
    </row>
    <row r="65" spans="1:23" ht="32.25" customHeight="1" x14ac:dyDescent="0.2">
      <c r="A65" s="78"/>
      <c r="B65" s="498" t="s">
        <v>334</v>
      </c>
      <c r="C65" s="498"/>
      <c r="D65" s="498"/>
      <c r="E65" s="498"/>
      <c r="F65" s="498"/>
      <c r="G65" s="498"/>
      <c r="H65" s="498"/>
      <c r="I65" s="498"/>
      <c r="J65" s="498"/>
      <c r="K65" s="498"/>
      <c r="L65" s="499"/>
      <c r="M65" s="242">
        <v>1</v>
      </c>
      <c r="N65" s="242">
        <v>4</v>
      </c>
      <c r="O65" s="243" t="s">
        <v>353</v>
      </c>
      <c r="P65" s="244" t="s">
        <v>41</v>
      </c>
      <c r="Q65" s="500"/>
      <c r="R65" s="501"/>
      <c r="S65" s="245">
        <v>2889.806</v>
      </c>
      <c r="T65" s="246">
        <v>0</v>
      </c>
      <c r="U65" s="164">
        <v>2889.806</v>
      </c>
      <c r="V65" s="273">
        <f>+'11'!AG400</f>
        <v>784.58761000000004</v>
      </c>
      <c r="W65" s="273">
        <f t="shared" si="0"/>
        <v>27.15018274583138</v>
      </c>
    </row>
    <row r="66" spans="1:23" ht="32.25" customHeight="1" x14ac:dyDescent="0.2">
      <c r="A66" s="78"/>
      <c r="B66" s="498" t="s">
        <v>354</v>
      </c>
      <c r="C66" s="498"/>
      <c r="D66" s="498"/>
      <c r="E66" s="498"/>
      <c r="F66" s="498"/>
      <c r="G66" s="498"/>
      <c r="H66" s="498"/>
      <c r="I66" s="498"/>
      <c r="J66" s="498"/>
      <c r="K66" s="498"/>
      <c r="L66" s="499"/>
      <c r="M66" s="242">
        <v>1</v>
      </c>
      <c r="N66" s="242">
        <v>4</v>
      </c>
      <c r="O66" s="243" t="s">
        <v>355</v>
      </c>
      <c r="P66" s="244">
        <v>0</v>
      </c>
      <c r="Q66" s="500"/>
      <c r="R66" s="501"/>
      <c r="S66" s="245">
        <v>5383.1869999999999</v>
      </c>
      <c r="T66" s="246">
        <v>0</v>
      </c>
      <c r="U66" s="164">
        <v>5383.1869999999999</v>
      </c>
      <c r="V66" s="273">
        <f>+V67+V71</f>
        <v>1434.76998</v>
      </c>
      <c r="W66" s="273">
        <f t="shared" si="0"/>
        <v>26.652798425913872</v>
      </c>
    </row>
    <row r="67" spans="1:23" ht="21.75" customHeight="1" x14ac:dyDescent="0.2">
      <c r="A67" s="78"/>
      <c r="B67" s="498" t="s">
        <v>345</v>
      </c>
      <c r="C67" s="498"/>
      <c r="D67" s="498"/>
      <c r="E67" s="498"/>
      <c r="F67" s="498"/>
      <c r="G67" s="498"/>
      <c r="H67" s="498"/>
      <c r="I67" s="498"/>
      <c r="J67" s="498"/>
      <c r="K67" s="498"/>
      <c r="L67" s="499"/>
      <c r="M67" s="242">
        <v>1</v>
      </c>
      <c r="N67" s="242">
        <v>4</v>
      </c>
      <c r="O67" s="243" t="s">
        <v>355</v>
      </c>
      <c r="P67" s="244" t="s">
        <v>24</v>
      </c>
      <c r="Q67" s="500"/>
      <c r="R67" s="501"/>
      <c r="S67" s="245">
        <v>4926.1869999999999</v>
      </c>
      <c r="T67" s="246">
        <v>0</v>
      </c>
      <c r="U67" s="164">
        <v>4926.1869999999999</v>
      </c>
      <c r="V67" s="273">
        <f>+V68</f>
        <v>1130.1740500000001</v>
      </c>
      <c r="W67" s="273">
        <f t="shared" si="0"/>
        <v>22.942167035071957</v>
      </c>
    </row>
    <row r="68" spans="1:23" ht="21.75" customHeight="1" x14ac:dyDescent="0.2">
      <c r="A68" s="78"/>
      <c r="B68" s="498" t="s">
        <v>346</v>
      </c>
      <c r="C68" s="498"/>
      <c r="D68" s="498"/>
      <c r="E68" s="498"/>
      <c r="F68" s="498"/>
      <c r="G68" s="498"/>
      <c r="H68" s="498"/>
      <c r="I68" s="498"/>
      <c r="J68" s="498"/>
      <c r="K68" s="498"/>
      <c r="L68" s="499"/>
      <c r="M68" s="242">
        <v>1</v>
      </c>
      <c r="N68" s="242">
        <v>4</v>
      </c>
      <c r="O68" s="243" t="s">
        <v>355</v>
      </c>
      <c r="P68" s="244" t="s">
        <v>26</v>
      </c>
      <c r="Q68" s="500"/>
      <c r="R68" s="501"/>
      <c r="S68" s="245">
        <v>4926.1869999999999</v>
      </c>
      <c r="T68" s="246">
        <v>0</v>
      </c>
      <c r="U68" s="164">
        <v>4926.1869999999999</v>
      </c>
      <c r="V68" s="273">
        <f>+V69+V70</f>
        <v>1130.1740500000001</v>
      </c>
      <c r="W68" s="273">
        <f t="shared" si="0"/>
        <v>22.942167035071957</v>
      </c>
    </row>
    <row r="69" spans="1:23" ht="21.75" customHeight="1" x14ac:dyDescent="0.2">
      <c r="A69" s="78"/>
      <c r="B69" s="498" t="s">
        <v>347</v>
      </c>
      <c r="C69" s="498"/>
      <c r="D69" s="498"/>
      <c r="E69" s="498"/>
      <c r="F69" s="498"/>
      <c r="G69" s="498"/>
      <c r="H69" s="498"/>
      <c r="I69" s="498"/>
      <c r="J69" s="498"/>
      <c r="K69" s="498"/>
      <c r="L69" s="499"/>
      <c r="M69" s="242">
        <v>1</v>
      </c>
      <c r="N69" s="242">
        <v>4</v>
      </c>
      <c r="O69" s="243" t="s">
        <v>355</v>
      </c>
      <c r="P69" s="244" t="s">
        <v>27</v>
      </c>
      <c r="Q69" s="500"/>
      <c r="R69" s="501"/>
      <c r="S69" s="245">
        <v>722.91600000000005</v>
      </c>
      <c r="T69" s="246">
        <v>0</v>
      </c>
      <c r="U69" s="164">
        <v>722.91600000000005</v>
      </c>
      <c r="V69" s="273">
        <f>+'11'!AG404</f>
        <v>88.169039999999995</v>
      </c>
      <c r="W69" s="273">
        <f t="shared" si="0"/>
        <v>12.196304964892185</v>
      </c>
    </row>
    <row r="70" spans="1:23" ht="12.75" customHeight="1" x14ac:dyDescent="0.2">
      <c r="A70" s="78"/>
      <c r="B70" s="498" t="s">
        <v>348</v>
      </c>
      <c r="C70" s="498"/>
      <c r="D70" s="498"/>
      <c r="E70" s="498"/>
      <c r="F70" s="498"/>
      <c r="G70" s="498"/>
      <c r="H70" s="498"/>
      <c r="I70" s="498"/>
      <c r="J70" s="498"/>
      <c r="K70" s="498"/>
      <c r="L70" s="499"/>
      <c r="M70" s="242">
        <v>1</v>
      </c>
      <c r="N70" s="242">
        <v>4</v>
      </c>
      <c r="O70" s="243" t="s">
        <v>355</v>
      </c>
      <c r="P70" s="244" t="s">
        <v>28</v>
      </c>
      <c r="Q70" s="500"/>
      <c r="R70" s="501"/>
      <c r="S70" s="245">
        <v>4203.2709999999997</v>
      </c>
      <c r="T70" s="246">
        <v>0</v>
      </c>
      <c r="U70" s="164">
        <v>4203.2709999999997</v>
      </c>
      <c r="V70" s="273">
        <f>+'11'!AG405</f>
        <v>1042.0050100000001</v>
      </c>
      <c r="W70" s="273">
        <f t="shared" si="0"/>
        <v>24.790336145349663</v>
      </c>
    </row>
    <row r="71" spans="1:23" ht="12.75" customHeight="1" x14ac:dyDescent="0.2">
      <c r="A71" s="78"/>
      <c r="B71" s="498" t="s">
        <v>29</v>
      </c>
      <c r="C71" s="498"/>
      <c r="D71" s="498"/>
      <c r="E71" s="498"/>
      <c r="F71" s="498"/>
      <c r="G71" s="498"/>
      <c r="H71" s="498"/>
      <c r="I71" s="498"/>
      <c r="J71" s="498"/>
      <c r="K71" s="498"/>
      <c r="L71" s="499"/>
      <c r="M71" s="242">
        <v>1</v>
      </c>
      <c r="N71" s="242">
        <v>4</v>
      </c>
      <c r="O71" s="243" t="s">
        <v>355</v>
      </c>
      <c r="P71" s="244" t="s">
        <v>30</v>
      </c>
      <c r="Q71" s="500"/>
      <c r="R71" s="501"/>
      <c r="S71" s="245">
        <v>457</v>
      </c>
      <c r="T71" s="246">
        <v>0</v>
      </c>
      <c r="U71" s="164">
        <v>457</v>
      </c>
      <c r="V71" s="273">
        <f>+V72</f>
        <v>304.59593000000001</v>
      </c>
      <c r="W71" s="273">
        <f t="shared" si="0"/>
        <v>66.651188183807449</v>
      </c>
    </row>
    <row r="72" spans="1:23" ht="12.75" customHeight="1" x14ac:dyDescent="0.2">
      <c r="A72" s="78"/>
      <c r="B72" s="498" t="s">
        <v>349</v>
      </c>
      <c r="C72" s="498"/>
      <c r="D72" s="498"/>
      <c r="E72" s="498"/>
      <c r="F72" s="498"/>
      <c r="G72" s="498"/>
      <c r="H72" s="498"/>
      <c r="I72" s="498"/>
      <c r="J72" s="498"/>
      <c r="K72" s="498"/>
      <c r="L72" s="499"/>
      <c r="M72" s="242">
        <v>1</v>
      </c>
      <c r="N72" s="242">
        <v>4</v>
      </c>
      <c r="O72" s="243" t="s">
        <v>355</v>
      </c>
      <c r="P72" s="244" t="s">
        <v>31</v>
      </c>
      <c r="Q72" s="500"/>
      <c r="R72" s="501"/>
      <c r="S72" s="245">
        <v>457</v>
      </c>
      <c r="T72" s="246">
        <v>0</v>
      </c>
      <c r="U72" s="164">
        <v>457</v>
      </c>
      <c r="V72" s="273">
        <f>+V73+V74+V75</f>
        <v>304.59593000000001</v>
      </c>
      <c r="W72" s="273">
        <f t="shared" si="0"/>
        <v>66.651188183807449</v>
      </c>
    </row>
    <row r="73" spans="1:23" ht="21.75" customHeight="1" x14ac:dyDescent="0.2">
      <c r="A73" s="78"/>
      <c r="B73" s="498" t="s">
        <v>32</v>
      </c>
      <c r="C73" s="498"/>
      <c r="D73" s="498"/>
      <c r="E73" s="498"/>
      <c r="F73" s="498"/>
      <c r="G73" s="498"/>
      <c r="H73" s="498"/>
      <c r="I73" s="498"/>
      <c r="J73" s="498"/>
      <c r="K73" s="498"/>
      <c r="L73" s="499"/>
      <c r="M73" s="242">
        <v>1</v>
      </c>
      <c r="N73" s="242">
        <v>4</v>
      </c>
      <c r="O73" s="243" t="s">
        <v>355</v>
      </c>
      <c r="P73" s="244" t="s">
        <v>33</v>
      </c>
      <c r="Q73" s="500"/>
      <c r="R73" s="501"/>
      <c r="S73" s="245">
        <v>145</v>
      </c>
      <c r="T73" s="246">
        <v>0</v>
      </c>
      <c r="U73" s="164">
        <v>145</v>
      </c>
      <c r="V73" s="273">
        <f>+'11'!AG408</f>
        <v>121.893</v>
      </c>
      <c r="W73" s="273">
        <f t="shared" si="0"/>
        <v>84.064137931034494</v>
      </c>
    </row>
    <row r="74" spans="1:23" ht="12.75" customHeight="1" x14ac:dyDescent="0.2">
      <c r="A74" s="78"/>
      <c r="B74" s="498" t="s">
        <v>350</v>
      </c>
      <c r="C74" s="498"/>
      <c r="D74" s="498"/>
      <c r="E74" s="498"/>
      <c r="F74" s="498"/>
      <c r="G74" s="498"/>
      <c r="H74" s="498"/>
      <c r="I74" s="498"/>
      <c r="J74" s="498"/>
      <c r="K74" s="498"/>
      <c r="L74" s="499"/>
      <c r="M74" s="242">
        <v>1</v>
      </c>
      <c r="N74" s="242">
        <v>4</v>
      </c>
      <c r="O74" s="243" t="s">
        <v>355</v>
      </c>
      <c r="P74" s="244" t="s">
        <v>34</v>
      </c>
      <c r="Q74" s="500"/>
      <c r="R74" s="501"/>
      <c r="S74" s="245">
        <v>80</v>
      </c>
      <c r="T74" s="246">
        <v>0</v>
      </c>
      <c r="U74" s="164">
        <v>80</v>
      </c>
      <c r="V74" s="273">
        <f>+'11'!AG409</f>
        <v>39.603000000000002</v>
      </c>
      <c r="W74" s="273">
        <f t="shared" si="0"/>
        <v>49.503750000000004</v>
      </c>
    </row>
    <row r="75" spans="1:23" ht="12.75" customHeight="1" x14ac:dyDescent="0.2">
      <c r="A75" s="78"/>
      <c r="B75" s="498" t="s">
        <v>81</v>
      </c>
      <c r="C75" s="498"/>
      <c r="D75" s="498"/>
      <c r="E75" s="498"/>
      <c r="F75" s="498"/>
      <c r="G75" s="498"/>
      <c r="H75" s="498"/>
      <c r="I75" s="498"/>
      <c r="J75" s="498"/>
      <c r="K75" s="498"/>
      <c r="L75" s="499"/>
      <c r="M75" s="242">
        <v>1</v>
      </c>
      <c r="N75" s="242">
        <v>4</v>
      </c>
      <c r="O75" s="243" t="s">
        <v>355</v>
      </c>
      <c r="P75" s="244" t="s">
        <v>82</v>
      </c>
      <c r="Q75" s="500"/>
      <c r="R75" s="501"/>
      <c r="S75" s="245">
        <v>232</v>
      </c>
      <c r="T75" s="246">
        <v>0</v>
      </c>
      <c r="U75" s="164">
        <v>232</v>
      </c>
      <c r="V75" s="273">
        <f>+'11'!AG410</f>
        <v>143.09993</v>
      </c>
      <c r="W75" s="273">
        <f t="shared" si="0"/>
        <v>61.681004310344825</v>
      </c>
    </row>
    <row r="76" spans="1:23" ht="32.25" customHeight="1" x14ac:dyDescent="0.2">
      <c r="A76" s="78"/>
      <c r="B76" s="498" t="s">
        <v>544</v>
      </c>
      <c r="C76" s="498"/>
      <c r="D76" s="498"/>
      <c r="E76" s="498"/>
      <c r="F76" s="498"/>
      <c r="G76" s="498"/>
      <c r="H76" s="498"/>
      <c r="I76" s="498"/>
      <c r="J76" s="498"/>
      <c r="K76" s="498"/>
      <c r="L76" s="499"/>
      <c r="M76" s="242">
        <v>1</v>
      </c>
      <c r="N76" s="242">
        <v>4</v>
      </c>
      <c r="O76" s="243" t="s">
        <v>545</v>
      </c>
      <c r="P76" s="244">
        <v>0</v>
      </c>
      <c r="Q76" s="500"/>
      <c r="R76" s="501"/>
      <c r="S76" s="245">
        <v>22.4</v>
      </c>
      <c r="T76" s="246">
        <v>0</v>
      </c>
      <c r="U76" s="164">
        <v>22.4</v>
      </c>
      <c r="V76" s="273">
        <f>+V77</f>
        <v>0</v>
      </c>
      <c r="W76" s="273">
        <f t="shared" si="0"/>
        <v>0</v>
      </c>
    </row>
    <row r="77" spans="1:23" ht="53.25" customHeight="1" x14ac:dyDescent="0.2">
      <c r="A77" s="78"/>
      <c r="B77" s="498" t="s">
        <v>17</v>
      </c>
      <c r="C77" s="498"/>
      <c r="D77" s="498"/>
      <c r="E77" s="498"/>
      <c r="F77" s="498"/>
      <c r="G77" s="498"/>
      <c r="H77" s="498"/>
      <c r="I77" s="498"/>
      <c r="J77" s="498"/>
      <c r="K77" s="498"/>
      <c r="L77" s="499"/>
      <c r="M77" s="242">
        <v>1</v>
      </c>
      <c r="N77" s="242">
        <v>4</v>
      </c>
      <c r="O77" s="243" t="s">
        <v>545</v>
      </c>
      <c r="P77" s="244" t="s">
        <v>18</v>
      </c>
      <c r="Q77" s="500"/>
      <c r="R77" s="501"/>
      <c r="S77" s="245">
        <v>22.4</v>
      </c>
      <c r="T77" s="246">
        <v>0</v>
      </c>
      <c r="U77" s="164">
        <v>22.4</v>
      </c>
      <c r="V77" s="273">
        <f>+V78</f>
        <v>0</v>
      </c>
      <c r="W77" s="273">
        <f t="shared" si="0"/>
        <v>0</v>
      </c>
    </row>
    <row r="78" spans="1:23" ht="21.75" customHeight="1" x14ac:dyDescent="0.2">
      <c r="A78" s="78"/>
      <c r="B78" s="498" t="s">
        <v>37</v>
      </c>
      <c r="C78" s="498"/>
      <c r="D78" s="498"/>
      <c r="E78" s="498"/>
      <c r="F78" s="498"/>
      <c r="G78" s="498"/>
      <c r="H78" s="498"/>
      <c r="I78" s="498"/>
      <c r="J78" s="498"/>
      <c r="K78" s="498"/>
      <c r="L78" s="499"/>
      <c r="M78" s="242">
        <v>1</v>
      </c>
      <c r="N78" s="242">
        <v>4</v>
      </c>
      <c r="O78" s="243" t="s">
        <v>545</v>
      </c>
      <c r="P78" s="244" t="s">
        <v>38</v>
      </c>
      <c r="Q78" s="500"/>
      <c r="R78" s="501"/>
      <c r="S78" s="245">
        <v>22.4</v>
      </c>
      <c r="T78" s="246">
        <v>0</v>
      </c>
      <c r="U78" s="164">
        <v>22.4</v>
      </c>
      <c r="V78" s="273">
        <f>+V79</f>
        <v>0</v>
      </c>
      <c r="W78" s="273">
        <f t="shared" si="0"/>
        <v>0</v>
      </c>
    </row>
    <row r="79" spans="1:23" ht="32.25" customHeight="1" x14ac:dyDescent="0.2">
      <c r="A79" s="78"/>
      <c r="B79" s="498" t="s">
        <v>351</v>
      </c>
      <c r="C79" s="498"/>
      <c r="D79" s="498"/>
      <c r="E79" s="498"/>
      <c r="F79" s="498"/>
      <c r="G79" s="498"/>
      <c r="H79" s="498"/>
      <c r="I79" s="498"/>
      <c r="J79" s="498"/>
      <c r="K79" s="498"/>
      <c r="L79" s="499"/>
      <c r="M79" s="242">
        <v>1</v>
      </c>
      <c r="N79" s="242">
        <v>4</v>
      </c>
      <c r="O79" s="243" t="s">
        <v>545</v>
      </c>
      <c r="P79" s="244" t="s">
        <v>40</v>
      </c>
      <c r="Q79" s="500"/>
      <c r="R79" s="501"/>
      <c r="S79" s="245">
        <v>22.4</v>
      </c>
      <c r="T79" s="246">
        <v>0</v>
      </c>
      <c r="U79" s="164">
        <v>22.4</v>
      </c>
      <c r="V79" s="273"/>
      <c r="W79" s="273">
        <f t="shared" si="0"/>
        <v>0</v>
      </c>
    </row>
    <row r="80" spans="1:23" ht="12.75" customHeight="1" x14ac:dyDescent="0.25">
      <c r="A80" s="78"/>
      <c r="B80" s="502" t="s">
        <v>356</v>
      </c>
      <c r="C80" s="502"/>
      <c r="D80" s="502"/>
      <c r="E80" s="502"/>
      <c r="F80" s="502"/>
      <c r="G80" s="502"/>
      <c r="H80" s="502"/>
      <c r="I80" s="502"/>
      <c r="J80" s="502"/>
      <c r="K80" s="502"/>
      <c r="L80" s="503"/>
      <c r="M80" s="237">
        <v>1</v>
      </c>
      <c r="N80" s="237">
        <v>5</v>
      </c>
      <c r="O80" s="238">
        <v>0</v>
      </c>
      <c r="P80" s="239">
        <v>0</v>
      </c>
      <c r="Q80" s="504"/>
      <c r="R80" s="505"/>
      <c r="S80" s="240">
        <v>18.600000000000001</v>
      </c>
      <c r="T80" s="241">
        <v>0</v>
      </c>
      <c r="U80" s="274">
        <v>18.600000000000001</v>
      </c>
      <c r="V80" s="273">
        <f>+V81</f>
        <v>0</v>
      </c>
      <c r="W80" s="273">
        <f t="shared" si="0"/>
        <v>0</v>
      </c>
    </row>
    <row r="81" spans="1:23" ht="32.25" customHeight="1" x14ac:dyDescent="0.2">
      <c r="A81" s="78"/>
      <c r="B81" s="498" t="s">
        <v>357</v>
      </c>
      <c r="C81" s="498"/>
      <c r="D81" s="498"/>
      <c r="E81" s="498"/>
      <c r="F81" s="498"/>
      <c r="G81" s="498"/>
      <c r="H81" s="498"/>
      <c r="I81" s="498"/>
      <c r="J81" s="498"/>
      <c r="K81" s="498"/>
      <c r="L81" s="499"/>
      <c r="M81" s="242">
        <v>1</v>
      </c>
      <c r="N81" s="242">
        <v>5</v>
      </c>
      <c r="O81" s="243" t="s">
        <v>358</v>
      </c>
      <c r="P81" s="244">
        <v>0</v>
      </c>
      <c r="Q81" s="500"/>
      <c r="R81" s="501"/>
      <c r="S81" s="245">
        <v>18.600000000000001</v>
      </c>
      <c r="T81" s="246">
        <v>0</v>
      </c>
      <c r="U81" s="164">
        <v>18.600000000000001</v>
      </c>
      <c r="V81" s="273">
        <f>+V82</f>
        <v>0</v>
      </c>
      <c r="W81" s="273">
        <f t="shared" si="0"/>
        <v>0</v>
      </c>
    </row>
    <row r="82" spans="1:23" ht="42.75" customHeight="1" x14ac:dyDescent="0.2">
      <c r="A82" s="78"/>
      <c r="B82" s="498" t="s">
        <v>359</v>
      </c>
      <c r="C82" s="498"/>
      <c r="D82" s="498"/>
      <c r="E82" s="498"/>
      <c r="F82" s="498"/>
      <c r="G82" s="498"/>
      <c r="H82" s="498"/>
      <c r="I82" s="498"/>
      <c r="J82" s="498"/>
      <c r="K82" s="498"/>
      <c r="L82" s="499"/>
      <c r="M82" s="242">
        <v>1</v>
      </c>
      <c r="N82" s="242">
        <v>5</v>
      </c>
      <c r="O82" s="243" t="s">
        <v>360</v>
      </c>
      <c r="P82" s="244">
        <v>0</v>
      </c>
      <c r="Q82" s="500"/>
      <c r="R82" s="501"/>
      <c r="S82" s="245">
        <v>18.600000000000001</v>
      </c>
      <c r="T82" s="246">
        <v>0</v>
      </c>
      <c r="U82" s="164">
        <v>18.600000000000001</v>
      </c>
      <c r="V82" s="273">
        <f>+V83</f>
        <v>0</v>
      </c>
      <c r="W82" s="273">
        <f t="shared" si="0"/>
        <v>0</v>
      </c>
    </row>
    <row r="83" spans="1:23" ht="21.75" customHeight="1" x14ac:dyDescent="0.2">
      <c r="A83" s="78"/>
      <c r="B83" s="498" t="s">
        <v>345</v>
      </c>
      <c r="C83" s="498"/>
      <c r="D83" s="498"/>
      <c r="E83" s="498"/>
      <c r="F83" s="498"/>
      <c r="G83" s="498"/>
      <c r="H83" s="498"/>
      <c r="I83" s="498"/>
      <c r="J83" s="498"/>
      <c r="K83" s="498"/>
      <c r="L83" s="499"/>
      <c r="M83" s="242">
        <v>1</v>
      </c>
      <c r="N83" s="242">
        <v>5</v>
      </c>
      <c r="O83" s="243" t="s">
        <v>360</v>
      </c>
      <c r="P83" s="244" t="s">
        <v>24</v>
      </c>
      <c r="Q83" s="500"/>
      <c r="R83" s="501"/>
      <c r="S83" s="245">
        <v>18.600000000000001</v>
      </c>
      <c r="T83" s="246">
        <v>0</v>
      </c>
      <c r="U83" s="164">
        <v>18.600000000000001</v>
      </c>
      <c r="V83" s="273">
        <f>+V84</f>
        <v>0</v>
      </c>
      <c r="W83" s="273">
        <f t="shared" ref="W83:W146" si="1">V83/U83*100</f>
        <v>0</v>
      </c>
    </row>
    <row r="84" spans="1:23" ht="21.75" customHeight="1" x14ac:dyDescent="0.2">
      <c r="A84" s="78"/>
      <c r="B84" s="498" t="s">
        <v>346</v>
      </c>
      <c r="C84" s="498"/>
      <c r="D84" s="498"/>
      <c r="E84" s="498"/>
      <c r="F84" s="498"/>
      <c r="G84" s="498"/>
      <c r="H84" s="498"/>
      <c r="I84" s="498"/>
      <c r="J84" s="498"/>
      <c r="K84" s="498"/>
      <c r="L84" s="499"/>
      <c r="M84" s="242">
        <v>1</v>
      </c>
      <c r="N84" s="242">
        <v>5</v>
      </c>
      <c r="O84" s="243" t="s">
        <v>360</v>
      </c>
      <c r="P84" s="244" t="s">
        <v>26</v>
      </c>
      <c r="Q84" s="500"/>
      <c r="R84" s="501"/>
      <c r="S84" s="245">
        <v>18.600000000000001</v>
      </c>
      <c r="T84" s="246">
        <v>0</v>
      </c>
      <c r="U84" s="164">
        <v>18.600000000000001</v>
      </c>
      <c r="V84" s="273">
        <f>+V85</f>
        <v>0</v>
      </c>
      <c r="W84" s="273">
        <f t="shared" si="1"/>
        <v>0</v>
      </c>
    </row>
    <row r="85" spans="1:23" ht="12.75" customHeight="1" x14ac:dyDescent="0.2">
      <c r="A85" s="78"/>
      <c r="B85" s="498" t="s">
        <v>348</v>
      </c>
      <c r="C85" s="498"/>
      <c r="D85" s="498"/>
      <c r="E85" s="498"/>
      <c r="F85" s="498"/>
      <c r="G85" s="498"/>
      <c r="H85" s="498"/>
      <c r="I85" s="498"/>
      <c r="J85" s="498"/>
      <c r="K85" s="498"/>
      <c r="L85" s="499"/>
      <c r="M85" s="242">
        <v>1</v>
      </c>
      <c r="N85" s="242">
        <v>5</v>
      </c>
      <c r="O85" s="243" t="s">
        <v>360</v>
      </c>
      <c r="P85" s="244" t="s">
        <v>28</v>
      </c>
      <c r="Q85" s="500"/>
      <c r="R85" s="501"/>
      <c r="S85" s="245">
        <v>18.600000000000001</v>
      </c>
      <c r="T85" s="246">
        <v>0</v>
      </c>
      <c r="U85" s="164">
        <v>18.600000000000001</v>
      </c>
      <c r="V85" s="273"/>
      <c r="W85" s="273">
        <f t="shared" si="1"/>
        <v>0</v>
      </c>
    </row>
    <row r="86" spans="1:23" ht="30" customHeight="1" x14ac:dyDescent="0.25">
      <c r="A86" s="78"/>
      <c r="B86" s="502" t="s">
        <v>78</v>
      </c>
      <c r="C86" s="502"/>
      <c r="D86" s="502"/>
      <c r="E86" s="502"/>
      <c r="F86" s="502"/>
      <c r="G86" s="502"/>
      <c r="H86" s="502"/>
      <c r="I86" s="502"/>
      <c r="J86" s="502"/>
      <c r="K86" s="502"/>
      <c r="L86" s="503"/>
      <c r="M86" s="237">
        <v>1</v>
      </c>
      <c r="N86" s="237">
        <v>6</v>
      </c>
      <c r="O86" s="238">
        <v>0</v>
      </c>
      <c r="P86" s="239">
        <v>0</v>
      </c>
      <c r="Q86" s="504"/>
      <c r="R86" s="505"/>
      <c r="S86" s="240">
        <v>7911.8180000000002</v>
      </c>
      <c r="T86" s="241">
        <v>0</v>
      </c>
      <c r="U86" s="274">
        <v>7911.8180000000002</v>
      </c>
      <c r="V86" s="273">
        <f>+V87+V107</f>
        <v>1608.69615</v>
      </c>
      <c r="W86" s="273">
        <f t="shared" si="1"/>
        <v>20.332825527584177</v>
      </c>
    </row>
    <row r="87" spans="1:23" ht="21.75" customHeight="1" x14ac:dyDescent="0.2">
      <c r="A87" s="78"/>
      <c r="B87" s="498" t="s">
        <v>59</v>
      </c>
      <c r="C87" s="498"/>
      <c r="D87" s="498"/>
      <c r="E87" s="498"/>
      <c r="F87" s="498"/>
      <c r="G87" s="498"/>
      <c r="H87" s="498"/>
      <c r="I87" s="498"/>
      <c r="J87" s="498"/>
      <c r="K87" s="498"/>
      <c r="L87" s="499"/>
      <c r="M87" s="242">
        <v>1</v>
      </c>
      <c r="N87" s="242">
        <v>6</v>
      </c>
      <c r="O87" s="243" t="s">
        <v>361</v>
      </c>
      <c r="P87" s="244">
        <v>0</v>
      </c>
      <c r="Q87" s="500"/>
      <c r="R87" s="501"/>
      <c r="S87" s="245">
        <v>6496.8280000000004</v>
      </c>
      <c r="T87" s="246">
        <v>0</v>
      </c>
      <c r="U87" s="164">
        <v>6496.8280000000004</v>
      </c>
      <c r="V87" s="273">
        <f>+V88+V93+V103</f>
        <v>1219.0083199999999</v>
      </c>
      <c r="W87" s="273">
        <f t="shared" si="1"/>
        <v>18.763130561560192</v>
      </c>
    </row>
    <row r="88" spans="1:23" ht="42.75" customHeight="1" x14ac:dyDescent="0.2">
      <c r="A88" s="78"/>
      <c r="B88" s="498" t="s">
        <v>362</v>
      </c>
      <c r="C88" s="498"/>
      <c r="D88" s="498"/>
      <c r="E88" s="498"/>
      <c r="F88" s="498"/>
      <c r="G88" s="498"/>
      <c r="H88" s="498"/>
      <c r="I88" s="498"/>
      <c r="J88" s="498"/>
      <c r="K88" s="498"/>
      <c r="L88" s="499"/>
      <c r="M88" s="242">
        <v>1</v>
      </c>
      <c r="N88" s="242">
        <v>6</v>
      </c>
      <c r="O88" s="243" t="s">
        <v>363</v>
      </c>
      <c r="P88" s="244">
        <v>0</v>
      </c>
      <c r="Q88" s="500"/>
      <c r="R88" s="501"/>
      <c r="S88" s="245">
        <v>4116.5280000000002</v>
      </c>
      <c r="T88" s="246">
        <v>0</v>
      </c>
      <c r="U88" s="164">
        <v>4116.5280000000002</v>
      </c>
      <c r="V88" s="273">
        <f>+V89</f>
        <v>1015.86019</v>
      </c>
      <c r="W88" s="273">
        <f t="shared" si="1"/>
        <v>24.677596994360293</v>
      </c>
    </row>
    <row r="89" spans="1:23" ht="53.25" customHeight="1" x14ac:dyDescent="0.2">
      <c r="A89" s="78"/>
      <c r="B89" s="498" t="s">
        <v>17</v>
      </c>
      <c r="C89" s="498"/>
      <c r="D89" s="498"/>
      <c r="E89" s="498"/>
      <c r="F89" s="498"/>
      <c r="G89" s="498"/>
      <c r="H89" s="498"/>
      <c r="I89" s="498"/>
      <c r="J89" s="498"/>
      <c r="K89" s="498"/>
      <c r="L89" s="499"/>
      <c r="M89" s="242">
        <v>1</v>
      </c>
      <c r="N89" s="242">
        <v>6</v>
      </c>
      <c r="O89" s="243" t="s">
        <v>363</v>
      </c>
      <c r="P89" s="244" t="s">
        <v>18</v>
      </c>
      <c r="Q89" s="500"/>
      <c r="R89" s="501"/>
      <c r="S89" s="245">
        <v>4116.5280000000002</v>
      </c>
      <c r="T89" s="246">
        <v>0</v>
      </c>
      <c r="U89" s="164">
        <v>4116.5280000000002</v>
      </c>
      <c r="V89" s="273">
        <f>+V90</f>
        <v>1015.86019</v>
      </c>
      <c r="W89" s="273">
        <f t="shared" si="1"/>
        <v>24.677596994360293</v>
      </c>
    </row>
    <row r="90" spans="1:23" ht="21.75" customHeight="1" x14ac:dyDescent="0.2">
      <c r="A90" s="78"/>
      <c r="B90" s="498" t="s">
        <v>37</v>
      </c>
      <c r="C90" s="498"/>
      <c r="D90" s="498"/>
      <c r="E90" s="498"/>
      <c r="F90" s="498"/>
      <c r="G90" s="498"/>
      <c r="H90" s="498"/>
      <c r="I90" s="498"/>
      <c r="J90" s="498"/>
      <c r="K90" s="498"/>
      <c r="L90" s="499"/>
      <c r="M90" s="242">
        <v>1</v>
      </c>
      <c r="N90" s="242">
        <v>6</v>
      </c>
      <c r="O90" s="243" t="s">
        <v>363</v>
      </c>
      <c r="P90" s="244" t="s">
        <v>38</v>
      </c>
      <c r="Q90" s="500"/>
      <c r="R90" s="501"/>
      <c r="S90" s="245">
        <v>4116.5280000000002</v>
      </c>
      <c r="T90" s="246">
        <v>0</v>
      </c>
      <c r="U90" s="164">
        <v>4116.5280000000002</v>
      </c>
      <c r="V90" s="273">
        <f>+V91+V92</f>
        <v>1015.86019</v>
      </c>
      <c r="W90" s="273">
        <f t="shared" si="1"/>
        <v>24.677596994360293</v>
      </c>
    </row>
    <row r="91" spans="1:23" ht="21.75" customHeight="1" x14ac:dyDescent="0.2">
      <c r="A91" s="78"/>
      <c r="B91" s="498" t="s">
        <v>333</v>
      </c>
      <c r="C91" s="498"/>
      <c r="D91" s="498"/>
      <c r="E91" s="498"/>
      <c r="F91" s="498"/>
      <c r="G91" s="498"/>
      <c r="H91" s="498"/>
      <c r="I91" s="498"/>
      <c r="J91" s="498"/>
      <c r="K91" s="498"/>
      <c r="L91" s="499"/>
      <c r="M91" s="242">
        <v>1</v>
      </c>
      <c r="N91" s="242">
        <v>6</v>
      </c>
      <c r="O91" s="243" t="s">
        <v>363</v>
      </c>
      <c r="P91" s="244" t="s">
        <v>39</v>
      </c>
      <c r="Q91" s="500"/>
      <c r="R91" s="501"/>
      <c r="S91" s="245">
        <v>3161.7080000000001</v>
      </c>
      <c r="T91" s="246">
        <v>0</v>
      </c>
      <c r="U91" s="164">
        <v>3161.7080000000001</v>
      </c>
      <c r="V91" s="273">
        <f>+'11'!AG599</f>
        <v>782.07388000000003</v>
      </c>
      <c r="W91" s="273">
        <f t="shared" si="1"/>
        <v>24.735803559341978</v>
      </c>
    </row>
    <row r="92" spans="1:23" ht="32.25" customHeight="1" x14ac:dyDescent="0.2">
      <c r="A92" s="78"/>
      <c r="B92" s="498" t="s">
        <v>334</v>
      </c>
      <c r="C92" s="498"/>
      <c r="D92" s="498"/>
      <c r="E92" s="498"/>
      <c r="F92" s="498"/>
      <c r="G92" s="498"/>
      <c r="H92" s="498"/>
      <c r="I92" s="498"/>
      <c r="J92" s="498"/>
      <c r="K92" s="498"/>
      <c r="L92" s="499"/>
      <c r="M92" s="242">
        <v>1</v>
      </c>
      <c r="N92" s="242">
        <v>6</v>
      </c>
      <c r="O92" s="243" t="s">
        <v>363</v>
      </c>
      <c r="P92" s="244" t="s">
        <v>41</v>
      </c>
      <c r="Q92" s="500"/>
      <c r="R92" s="501"/>
      <c r="S92" s="245">
        <v>954.82</v>
      </c>
      <c r="T92" s="246">
        <v>0</v>
      </c>
      <c r="U92" s="164">
        <v>954.82</v>
      </c>
      <c r="V92" s="273">
        <f>+'11'!AG600</f>
        <v>233.78630999999999</v>
      </c>
      <c r="W92" s="273">
        <f t="shared" si="1"/>
        <v>24.484856831654131</v>
      </c>
    </row>
    <row r="93" spans="1:23" ht="21.75" customHeight="1" x14ac:dyDescent="0.2">
      <c r="A93" s="78"/>
      <c r="B93" s="498" t="s">
        <v>59</v>
      </c>
      <c r="C93" s="498"/>
      <c r="D93" s="498"/>
      <c r="E93" s="498"/>
      <c r="F93" s="498"/>
      <c r="G93" s="498"/>
      <c r="H93" s="498"/>
      <c r="I93" s="498"/>
      <c r="J93" s="498"/>
      <c r="K93" s="498"/>
      <c r="L93" s="499"/>
      <c r="M93" s="242">
        <v>1</v>
      </c>
      <c r="N93" s="242">
        <v>6</v>
      </c>
      <c r="O93" s="243" t="s">
        <v>364</v>
      </c>
      <c r="P93" s="244">
        <v>0</v>
      </c>
      <c r="Q93" s="500"/>
      <c r="R93" s="501"/>
      <c r="S93" s="245">
        <v>2221.4</v>
      </c>
      <c r="T93" s="246">
        <v>0</v>
      </c>
      <c r="U93" s="164">
        <v>2221.4</v>
      </c>
      <c r="V93" s="273">
        <f>+V94+V98</f>
        <v>192.54813000000001</v>
      </c>
      <c r="W93" s="273">
        <f t="shared" si="1"/>
        <v>8.6678729629963094</v>
      </c>
    </row>
    <row r="94" spans="1:23" ht="21.75" customHeight="1" x14ac:dyDescent="0.2">
      <c r="A94" s="78"/>
      <c r="B94" s="498" t="s">
        <v>345</v>
      </c>
      <c r="C94" s="498"/>
      <c r="D94" s="498"/>
      <c r="E94" s="498"/>
      <c r="F94" s="498"/>
      <c r="G94" s="498"/>
      <c r="H94" s="498"/>
      <c r="I94" s="498"/>
      <c r="J94" s="498"/>
      <c r="K94" s="498"/>
      <c r="L94" s="499"/>
      <c r="M94" s="242">
        <v>1</v>
      </c>
      <c r="N94" s="242">
        <v>6</v>
      </c>
      <c r="O94" s="243" t="s">
        <v>364</v>
      </c>
      <c r="P94" s="244" t="s">
        <v>24</v>
      </c>
      <c r="Q94" s="500"/>
      <c r="R94" s="501"/>
      <c r="S94" s="245">
        <v>2212.4</v>
      </c>
      <c r="T94" s="246">
        <v>0</v>
      </c>
      <c r="U94" s="164">
        <v>2212.4</v>
      </c>
      <c r="V94" s="273">
        <f>+V95</f>
        <v>192.36457000000001</v>
      </c>
      <c r="W94" s="273">
        <f t="shared" si="1"/>
        <v>8.6948368287832221</v>
      </c>
    </row>
    <row r="95" spans="1:23" ht="21.75" customHeight="1" x14ac:dyDescent="0.2">
      <c r="A95" s="78"/>
      <c r="B95" s="498" t="s">
        <v>346</v>
      </c>
      <c r="C95" s="498"/>
      <c r="D95" s="498"/>
      <c r="E95" s="498"/>
      <c r="F95" s="498"/>
      <c r="G95" s="498"/>
      <c r="H95" s="498"/>
      <c r="I95" s="498"/>
      <c r="J95" s="498"/>
      <c r="K95" s="498"/>
      <c r="L95" s="499"/>
      <c r="M95" s="242">
        <v>1</v>
      </c>
      <c r="N95" s="242">
        <v>6</v>
      </c>
      <c r="O95" s="243" t="s">
        <v>364</v>
      </c>
      <c r="P95" s="244" t="s">
        <v>26</v>
      </c>
      <c r="Q95" s="500"/>
      <c r="R95" s="501"/>
      <c r="S95" s="245">
        <v>2212.4</v>
      </c>
      <c r="T95" s="246">
        <v>0</v>
      </c>
      <c r="U95" s="164">
        <v>2212.4</v>
      </c>
      <c r="V95" s="273">
        <f>+V96+V97</f>
        <v>192.36457000000001</v>
      </c>
      <c r="W95" s="273">
        <f t="shared" si="1"/>
        <v>8.6948368287832221</v>
      </c>
    </row>
    <row r="96" spans="1:23" ht="21.75" customHeight="1" x14ac:dyDescent="0.2">
      <c r="A96" s="78"/>
      <c r="B96" s="498" t="s">
        <v>347</v>
      </c>
      <c r="C96" s="498"/>
      <c r="D96" s="498"/>
      <c r="E96" s="498"/>
      <c r="F96" s="498"/>
      <c r="G96" s="498"/>
      <c r="H96" s="498"/>
      <c r="I96" s="498"/>
      <c r="J96" s="498"/>
      <c r="K96" s="498"/>
      <c r="L96" s="499"/>
      <c r="M96" s="242">
        <v>1</v>
      </c>
      <c r="N96" s="242">
        <v>6</v>
      </c>
      <c r="O96" s="243" t="s">
        <v>364</v>
      </c>
      <c r="P96" s="244" t="s">
        <v>27</v>
      </c>
      <c r="Q96" s="500"/>
      <c r="R96" s="501"/>
      <c r="S96" s="245">
        <v>567.20000000000005</v>
      </c>
      <c r="T96" s="246">
        <v>0</v>
      </c>
      <c r="U96" s="164">
        <v>567.20000000000005</v>
      </c>
      <c r="V96" s="273">
        <f>+'11'!AG604</f>
        <v>78.653880000000001</v>
      </c>
      <c r="W96" s="273">
        <f t="shared" si="1"/>
        <v>13.867045133991537</v>
      </c>
    </row>
    <row r="97" spans="1:23" ht="12.75" customHeight="1" x14ac:dyDescent="0.2">
      <c r="A97" s="78"/>
      <c r="B97" s="498" t="s">
        <v>348</v>
      </c>
      <c r="C97" s="498"/>
      <c r="D97" s="498"/>
      <c r="E97" s="498"/>
      <c r="F97" s="498"/>
      <c r="G97" s="498"/>
      <c r="H97" s="498"/>
      <c r="I97" s="498"/>
      <c r="J97" s="498"/>
      <c r="K97" s="498"/>
      <c r="L97" s="499"/>
      <c r="M97" s="242">
        <v>1</v>
      </c>
      <c r="N97" s="242">
        <v>6</v>
      </c>
      <c r="O97" s="243" t="s">
        <v>364</v>
      </c>
      <c r="P97" s="244" t="s">
        <v>28</v>
      </c>
      <c r="Q97" s="500"/>
      <c r="R97" s="501"/>
      <c r="S97" s="245">
        <v>1645.2</v>
      </c>
      <c r="T97" s="246">
        <v>0</v>
      </c>
      <c r="U97" s="164">
        <v>1645.2</v>
      </c>
      <c r="V97" s="273">
        <f>+'11'!AG605</f>
        <v>113.71069</v>
      </c>
      <c r="W97" s="273">
        <f t="shared" si="1"/>
        <v>6.911663627522489</v>
      </c>
    </row>
    <row r="98" spans="1:23" ht="12.75" customHeight="1" x14ac:dyDescent="0.2">
      <c r="A98" s="78"/>
      <c r="B98" s="498" t="s">
        <v>29</v>
      </c>
      <c r="C98" s="498"/>
      <c r="D98" s="498"/>
      <c r="E98" s="498"/>
      <c r="F98" s="498"/>
      <c r="G98" s="498"/>
      <c r="H98" s="498"/>
      <c r="I98" s="498"/>
      <c r="J98" s="498"/>
      <c r="K98" s="498"/>
      <c r="L98" s="499"/>
      <c r="M98" s="242">
        <v>1</v>
      </c>
      <c r="N98" s="242">
        <v>6</v>
      </c>
      <c r="O98" s="243" t="s">
        <v>364</v>
      </c>
      <c r="P98" s="244" t="s">
        <v>30</v>
      </c>
      <c r="Q98" s="500"/>
      <c r="R98" s="501"/>
      <c r="S98" s="245">
        <v>9</v>
      </c>
      <c r="T98" s="246">
        <v>0</v>
      </c>
      <c r="U98" s="164">
        <v>9</v>
      </c>
      <c r="V98" s="273">
        <f>+V99</f>
        <v>0.18356</v>
      </c>
      <c r="W98" s="273">
        <f t="shared" si="1"/>
        <v>2.0395555555555553</v>
      </c>
    </row>
    <row r="99" spans="1:23" ht="12.75" customHeight="1" x14ac:dyDescent="0.2">
      <c r="A99" s="78"/>
      <c r="B99" s="498" t="s">
        <v>349</v>
      </c>
      <c r="C99" s="498"/>
      <c r="D99" s="498"/>
      <c r="E99" s="498"/>
      <c r="F99" s="498"/>
      <c r="G99" s="498"/>
      <c r="H99" s="498"/>
      <c r="I99" s="498"/>
      <c r="J99" s="498"/>
      <c r="K99" s="498"/>
      <c r="L99" s="499"/>
      <c r="M99" s="242">
        <v>1</v>
      </c>
      <c r="N99" s="242">
        <v>6</v>
      </c>
      <c r="O99" s="243" t="s">
        <v>364</v>
      </c>
      <c r="P99" s="244" t="s">
        <v>31</v>
      </c>
      <c r="Q99" s="500"/>
      <c r="R99" s="501"/>
      <c r="S99" s="245">
        <v>9</v>
      </c>
      <c r="T99" s="246">
        <v>0</v>
      </c>
      <c r="U99" s="164">
        <v>9</v>
      </c>
      <c r="V99" s="273">
        <f>+V100+V101+V102</f>
        <v>0.18356</v>
      </c>
      <c r="W99" s="273">
        <f t="shared" si="1"/>
        <v>2.0395555555555553</v>
      </c>
    </row>
    <row r="100" spans="1:23" ht="21.75" customHeight="1" x14ac:dyDescent="0.2">
      <c r="A100" s="78"/>
      <c r="B100" s="498" t="s">
        <v>32</v>
      </c>
      <c r="C100" s="498"/>
      <c r="D100" s="498"/>
      <c r="E100" s="498"/>
      <c r="F100" s="498"/>
      <c r="G100" s="498"/>
      <c r="H100" s="498"/>
      <c r="I100" s="498"/>
      <c r="J100" s="498"/>
      <c r="K100" s="498"/>
      <c r="L100" s="499"/>
      <c r="M100" s="242">
        <v>1</v>
      </c>
      <c r="N100" s="242">
        <v>6</v>
      </c>
      <c r="O100" s="243" t="s">
        <v>364</v>
      </c>
      <c r="P100" s="244" t="s">
        <v>33</v>
      </c>
      <c r="Q100" s="500"/>
      <c r="R100" s="501"/>
      <c r="S100" s="245">
        <v>5</v>
      </c>
      <c r="T100" s="246">
        <v>0</v>
      </c>
      <c r="U100" s="164">
        <v>5</v>
      </c>
      <c r="V100" s="273">
        <f>+'11'!AG608</f>
        <v>0</v>
      </c>
      <c r="W100" s="273">
        <f t="shared" si="1"/>
        <v>0</v>
      </c>
    </row>
    <row r="101" spans="1:23" ht="12.75" customHeight="1" x14ac:dyDescent="0.2">
      <c r="A101" s="78"/>
      <c r="B101" s="498" t="s">
        <v>350</v>
      </c>
      <c r="C101" s="498"/>
      <c r="D101" s="498"/>
      <c r="E101" s="498"/>
      <c r="F101" s="498"/>
      <c r="G101" s="498"/>
      <c r="H101" s="498"/>
      <c r="I101" s="498"/>
      <c r="J101" s="498"/>
      <c r="K101" s="498"/>
      <c r="L101" s="499"/>
      <c r="M101" s="242">
        <v>1</v>
      </c>
      <c r="N101" s="242">
        <v>6</v>
      </c>
      <c r="O101" s="243" t="s">
        <v>364</v>
      </c>
      <c r="P101" s="244" t="s">
        <v>34</v>
      </c>
      <c r="Q101" s="500"/>
      <c r="R101" s="501"/>
      <c r="S101" s="245">
        <v>3</v>
      </c>
      <c r="T101" s="246">
        <v>0</v>
      </c>
      <c r="U101" s="164">
        <v>3</v>
      </c>
      <c r="V101" s="273">
        <f>+'11'!AG609</f>
        <v>0.18356</v>
      </c>
      <c r="W101" s="273">
        <f t="shared" si="1"/>
        <v>6.1186666666666669</v>
      </c>
    </row>
    <row r="102" spans="1:23" ht="12.75" customHeight="1" x14ac:dyDescent="0.2">
      <c r="A102" s="78"/>
      <c r="B102" s="498" t="s">
        <v>81</v>
      </c>
      <c r="C102" s="498"/>
      <c r="D102" s="498"/>
      <c r="E102" s="498"/>
      <c r="F102" s="498"/>
      <c r="G102" s="498"/>
      <c r="H102" s="498"/>
      <c r="I102" s="498"/>
      <c r="J102" s="498"/>
      <c r="K102" s="498"/>
      <c r="L102" s="499"/>
      <c r="M102" s="242">
        <v>1</v>
      </c>
      <c r="N102" s="242">
        <v>6</v>
      </c>
      <c r="O102" s="243" t="s">
        <v>364</v>
      </c>
      <c r="P102" s="244" t="s">
        <v>82</v>
      </c>
      <c r="Q102" s="500"/>
      <c r="R102" s="501"/>
      <c r="S102" s="245">
        <v>1</v>
      </c>
      <c r="T102" s="246">
        <v>0</v>
      </c>
      <c r="U102" s="164">
        <v>1</v>
      </c>
      <c r="V102" s="273">
        <f>+'11'!AG610</f>
        <v>0</v>
      </c>
      <c r="W102" s="273">
        <f t="shared" si="1"/>
        <v>0</v>
      </c>
    </row>
    <row r="103" spans="1:23" ht="42.75" customHeight="1" x14ac:dyDescent="0.2">
      <c r="A103" s="78"/>
      <c r="B103" s="498" t="s">
        <v>365</v>
      </c>
      <c r="C103" s="498"/>
      <c r="D103" s="498"/>
      <c r="E103" s="498"/>
      <c r="F103" s="498"/>
      <c r="G103" s="498"/>
      <c r="H103" s="498"/>
      <c r="I103" s="498"/>
      <c r="J103" s="498"/>
      <c r="K103" s="498"/>
      <c r="L103" s="499"/>
      <c r="M103" s="242">
        <v>1</v>
      </c>
      <c r="N103" s="242">
        <v>6</v>
      </c>
      <c r="O103" s="243" t="s">
        <v>366</v>
      </c>
      <c r="P103" s="244">
        <v>0</v>
      </c>
      <c r="Q103" s="500"/>
      <c r="R103" s="501"/>
      <c r="S103" s="245">
        <v>158.9</v>
      </c>
      <c r="T103" s="246">
        <v>0</v>
      </c>
      <c r="U103" s="164">
        <v>158.9</v>
      </c>
      <c r="V103" s="273">
        <f>+V104</f>
        <v>10.6</v>
      </c>
      <c r="W103" s="273">
        <f t="shared" si="1"/>
        <v>6.6708621774701067</v>
      </c>
    </row>
    <row r="104" spans="1:23" ht="53.25" customHeight="1" x14ac:dyDescent="0.2">
      <c r="A104" s="78"/>
      <c r="B104" s="498" t="s">
        <v>17</v>
      </c>
      <c r="C104" s="498"/>
      <c r="D104" s="498"/>
      <c r="E104" s="498"/>
      <c r="F104" s="498"/>
      <c r="G104" s="498"/>
      <c r="H104" s="498"/>
      <c r="I104" s="498"/>
      <c r="J104" s="498"/>
      <c r="K104" s="498"/>
      <c r="L104" s="499"/>
      <c r="M104" s="242">
        <v>1</v>
      </c>
      <c r="N104" s="242">
        <v>6</v>
      </c>
      <c r="O104" s="243" t="s">
        <v>366</v>
      </c>
      <c r="P104" s="244" t="s">
        <v>18</v>
      </c>
      <c r="Q104" s="500"/>
      <c r="R104" s="501"/>
      <c r="S104" s="245">
        <v>158.9</v>
      </c>
      <c r="T104" s="246">
        <v>0</v>
      </c>
      <c r="U104" s="164">
        <v>158.9</v>
      </c>
      <c r="V104" s="273">
        <f>+V105</f>
        <v>10.6</v>
      </c>
      <c r="W104" s="273">
        <f t="shared" si="1"/>
        <v>6.6708621774701067</v>
      </c>
    </row>
    <row r="105" spans="1:23" ht="21.75" customHeight="1" x14ac:dyDescent="0.2">
      <c r="A105" s="78"/>
      <c r="B105" s="498" t="s">
        <v>37</v>
      </c>
      <c r="C105" s="498"/>
      <c r="D105" s="498"/>
      <c r="E105" s="498"/>
      <c r="F105" s="498"/>
      <c r="G105" s="498"/>
      <c r="H105" s="498"/>
      <c r="I105" s="498"/>
      <c r="J105" s="498"/>
      <c r="K105" s="498"/>
      <c r="L105" s="499"/>
      <c r="M105" s="242">
        <v>1</v>
      </c>
      <c r="N105" s="242">
        <v>6</v>
      </c>
      <c r="O105" s="243" t="s">
        <v>366</v>
      </c>
      <c r="P105" s="244" t="s">
        <v>38</v>
      </c>
      <c r="Q105" s="500"/>
      <c r="R105" s="501"/>
      <c r="S105" s="245">
        <v>158.9</v>
      </c>
      <c r="T105" s="246">
        <v>0</v>
      </c>
      <c r="U105" s="164">
        <v>158.9</v>
      </c>
      <c r="V105" s="273">
        <f>+V106</f>
        <v>10.6</v>
      </c>
      <c r="W105" s="273">
        <f t="shared" si="1"/>
        <v>6.6708621774701067</v>
      </c>
    </row>
    <row r="106" spans="1:23" ht="32.25" customHeight="1" x14ac:dyDescent="0.2">
      <c r="A106" s="78"/>
      <c r="B106" s="498" t="s">
        <v>351</v>
      </c>
      <c r="C106" s="498"/>
      <c r="D106" s="498"/>
      <c r="E106" s="498"/>
      <c r="F106" s="498"/>
      <c r="G106" s="498"/>
      <c r="H106" s="498"/>
      <c r="I106" s="498"/>
      <c r="J106" s="498"/>
      <c r="K106" s="498"/>
      <c r="L106" s="499"/>
      <c r="M106" s="242">
        <v>1</v>
      </c>
      <c r="N106" s="242">
        <v>6</v>
      </c>
      <c r="O106" s="243" t="s">
        <v>366</v>
      </c>
      <c r="P106" s="244" t="s">
        <v>40</v>
      </c>
      <c r="Q106" s="500"/>
      <c r="R106" s="501"/>
      <c r="S106" s="245">
        <v>158.9</v>
      </c>
      <c r="T106" s="246">
        <v>0</v>
      </c>
      <c r="U106" s="164">
        <v>158.9</v>
      </c>
      <c r="V106" s="273">
        <f>+'11'!AG614</f>
        <v>10.6</v>
      </c>
      <c r="W106" s="273">
        <f t="shared" si="1"/>
        <v>6.6708621774701067</v>
      </c>
    </row>
    <row r="107" spans="1:23" ht="32.25" customHeight="1" x14ac:dyDescent="0.2">
      <c r="A107" s="78"/>
      <c r="B107" s="498" t="s">
        <v>367</v>
      </c>
      <c r="C107" s="498"/>
      <c r="D107" s="498"/>
      <c r="E107" s="498"/>
      <c r="F107" s="498"/>
      <c r="G107" s="498"/>
      <c r="H107" s="498"/>
      <c r="I107" s="498"/>
      <c r="J107" s="498"/>
      <c r="K107" s="498"/>
      <c r="L107" s="499"/>
      <c r="M107" s="242">
        <v>1</v>
      </c>
      <c r="N107" s="242">
        <v>6</v>
      </c>
      <c r="O107" s="243" t="s">
        <v>368</v>
      </c>
      <c r="P107" s="244">
        <v>0</v>
      </c>
      <c r="Q107" s="500"/>
      <c r="R107" s="501"/>
      <c r="S107" s="245">
        <v>1414.99</v>
      </c>
      <c r="T107" s="246">
        <v>0</v>
      </c>
      <c r="U107" s="164">
        <v>1414.99</v>
      </c>
      <c r="V107" s="273">
        <f>+V108+V113+V118</f>
        <v>389.68783000000008</v>
      </c>
      <c r="W107" s="273">
        <f t="shared" si="1"/>
        <v>27.539970600498947</v>
      </c>
    </row>
    <row r="108" spans="1:23" ht="32.25" customHeight="1" x14ac:dyDescent="0.2">
      <c r="A108" s="78"/>
      <c r="B108" s="498" t="s">
        <v>369</v>
      </c>
      <c r="C108" s="498"/>
      <c r="D108" s="498"/>
      <c r="E108" s="498"/>
      <c r="F108" s="498"/>
      <c r="G108" s="498"/>
      <c r="H108" s="498"/>
      <c r="I108" s="498"/>
      <c r="J108" s="498"/>
      <c r="K108" s="498"/>
      <c r="L108" s="499"/>
      <c r="M108" s="242">
        <v>1</v>
      </c>
      <c r="N108" s="242">
        <v>6</v>
      </c>
      <c r="O108" s="243" t="s">
        <v>370</v>
      </c>
      <c r="P108" s="244">
        <v>0</v>
      </c>
      <c r="Q108" s="500"/>
      <c r="R108" s="501"/>
      <c r="S108" s="245">
        <v>764.73599999999999</v>
      </c>
      <c r="T108" s="246">
        <v>0</v>
      </c>
      <c r="U108" s="164">
        <v>764.73599999999999</v>
      </c>
      <c r="V108" s="273">
        <f>+V109</f>
        <v>186.32093</v>
      </c>
      <c r="W108" s="273">
        <f t="shared" si="1"/>
        <v>24.364085122185958</v>
      </c>
    </row>
    <row r="109" spans="1:23" ht="53.25" customHeight="1" x14ac:dyDescent="0.2">
      <c r="A109" s="78"/>
      <c r="B109" s="498" t="s">
        <v>17</v>
      </c>
      <c r="C109" s="498"/>
      <c r="D109" s="498"/>
      <c r="E109" s="498"/>
      <c r="F109" s="498"/>
      <c r="G109" s="498"/>
      <c r="H109" s="498"/>
      <c r="I109" s="498"/>
      <c r="J109" s="498"/>
      <c r="K109" s="498"/>
      <c r="L109" s="499"/>
      <c r="M109" s="242">
        <v>1</v>
      </c>
      <c r="N109" s="242">
        <v>6</v>
      </c>
      <c r="O109" s="243" t="s">
        <v>370</v>
      </c>
      <c r="P109" s="244" t="s">
        <v>18</v>
      </c>
      <c r="Q109" s="500"/>
      <c r="R109" s="501"/>
      <c r="S109" s="245">
        <v>764.73599999999999</v>
      </c>
      <c r="T109" s="246">
        <v>0</v>
      </c>
      <c r="U109" s="164">
        <v>764.73599999999999</v>
      </c>
      <c r="V109" s="273">
        <f>+V110</f>
        <v>186.32093</v>
      </c>
      <c r="W109" s="273">
        <f t="shared" si="1"/>
        <v>24.364085122185958</v>
      </c>
    </row>
    <row r="110" spans="1:23" ht="21.75" customHeight="1" x14ac:dyDescent="0.2">
      <c r="A110" s="78"/>
      <c r="B110" s="498" t="s">
        <v>37</v>
      </c>
      <c r="C110" s="498"/>
      <c r="D110" s="498"/>
      <c r="E110" s="498"/>
      <c r="F110" s="498"/>
      <c r="G110" s="498"/>
      <c r="H110" s="498"/>
      <c r="I110" s="498"/>
      <c r="J110" s="498"/>
      <c r="K110" s="498"/>
      <c r="L110" s="499"/>
      <c r="M110" s="242">
        <v>1</v>
      </c>
      <c r="N110" s="242">
        <v>6</v>
      </c>
      <c r="O110" s="243" t="s">
        <v>370</v>
      </c>
      <c r="P110" s="244" t="s">
        <v>38</v>
      </c>
      <c r="Q110" s="500"/>
      <c r="R110" s="501"/>
      <c r="S110" s="245">
        <v>764.73599999999999</v>
      </c>
      <c r="T110" s="246">
        <v>0</v>
      </c>
      <c r="U110" s="164">
        <v>764.73599999999999</v>
      </c>
      <c r="V110" s="273">
        <f>+V111+V112</f>
        <v>186.32093</v>
      </c>
      <c r="W110" s="273">
        <f t="shared" si="1"/>
        <v>24.364085122185958</v>
      </c>
    </row>
    <row r="111" spans="1:23" ht="21.75" customHeight="1" x14ac:dyDescent="0.2">
      <c r="A111" s="78"/>
      <c r="B111" s="498" t="s">
        <v>333</v>
      </c>
      <c r="C111" s="498"/>
      <c r="D111" s="498"/>
      <c r="E111" s="498"/>
      <c r="F111" s="498"/>
      <c r="G111" s="498"/>
      <c r="H111" s="498"/>
      <c r="I111" s="498"/>
      <c r="J111" s="498"/>
      <c r="K111" s="498"/>
      <c r="L111" s="499"/>
      <c r="M111" s="242">
        <v>1</v>
      </c>
      <c r="N111" s="242">
        <v>6</v>
      </c>
      <c r="O111" s="243" t="s">
        <v>370</v>
      </c>
      <c r="P111" s="244" t="s">
        <v>39</v>
      </c>
      <c r="Q111" s="500"/>
      <c r="R111" s="501"/>
      <c r="S111" s="245">
        <v>587.35500000000002</v>
      </c>
      <c r="T111" s="246">
        <v>0</v>
      </c>
      <c r="U111" s="164">
        <v>587.35500000000002</v>
      </c>
      <c r="V111" s="273">
        <f>+'11'!AG363</f>
        <v>143.10363000000001</v>
      </c>
      <c r="W111" s="273">
        <f t="shared" si="1"/>
        <v>24.364077942641163</v>
      </c>
    </row>
    <row r="112" spans="1:23" ht="32.25" customHeight="1" x14ac:dyDescent="0.2">
      <c r="A112" s="78"/>
      <c r="B112" s="498" t="s">
        <v>334</v>
      </c>
      <c r="C112" s="498"/>
      <c r="D112" s="498"/>
      <c r="E112" s="498"/>
      <c r="F112" s="498"/>
      <c r="G112" s="498"/>
      <c r="H112" s="498"/>
      <c r="I112" s="498"/>
      <c r="J112" s="498"/>
      <c r="K112" s="498"/>
      <c r="L112" s="499"/>
      <c r="M112" s="242">
        <v>1</v>
      </c>
      <c r="N112" s="242">
        <v>6</v>
      </c>
      <c r="O112" s="243" t="s">
        <v>370</v>
      </c>
      <c r="P112" s="244" t="s">
        <v>41</v>
      </c>
      <c r="Q112" s="500"/>
      <c r="R112" s="501"/>
      <c r="S112" s="245">
        <v>177.381</v>
      </c>
      <c r="T112" s="246">
        <v>0</v>
      </c>
      <c r="U112" s="164">
        <v>177.381</v>
      </c>
      <c r="V112" s="273">
        <f>+'11'!AG364</f>
        <v>43.217300000000002</v>
      </c>
      <c r="W112" s="273">
        <f t="shared" si="1"/>
        <v>24.364108895541236</v>
      </c>
    </row>
    <row r="113" spans="1:23" ht="32.25" customHeight="1" x14ac:dyDescent="0.2">
      <c r="A113" s="78"/>
      <c r="B113" s="498" t="s">
        <v>371</v>
      </c>
      <c r="C113" s="498"/>
      <c r="D113" s="498"/>
      <c r="E113" s="498"/>
      <c r="F113" s="498"/>
      <c r="G113" s="498"/>
      <c r="H113" s="498"/>
      <c r="I113" s="498"/>
      <c r="J113" s="498"/>
      <c r="K113" s="498"/>
      <c r="L113" s="499"/>
      <c r="M113" s="242">
        <v>1</v>
      </c>
      <c r="N113" s="242">
        <v>6</v>
      </c>
      <c r="O113" s="243" t="s">
        <v>372</v>
      </c>
      <c r="P113" s="244">
        <v>0</v>
      </c>
      <c r="Q113" s="500"/>
      <c r="R113" s="501"/>
      <c r="S113" s="245">
        <v>581.28499999999997</v>
      </c>
      <c r="T113" s="246">
        <v>0</v>
      </c>
      <c r="U113" s="164">
        <v>581.28499999999997</v>
      </c>
      <c r="V113" s="273">
        <f>+V114</f>
        <v>167.30860000000001</v>
      </c>
      <c r="W113" s="273">
        <f t="shared" si="1"/>
        <v>28.782542126495613</v>
      </c>
    </row>
    <row r="114" spans="1:23" ht="53.25" customHeight="1" x14ac:dyDescent="0.2">
      <c r="A114" s="78"/>
      <c r="B114" s="498" t="s">
        <v>17</v>
      </c>
      <c r="C114" s="498"/>
      <c r="D114" s="498"/>
      <c r="E114" s="498"/>
      <c r="F114" s="498"/>
      <c r="G114" s="498"/>
      <c r="H114" s="498"/>
      <c r="I114" s="498"/>
      <c r="J114" s="498"/>
      <c r="K114" s="498"/>
      <c r="L114" s="499"/>
      <c r="M114" s="242">
        <v>1</v>
      </c>
      <c r="N114" s="242">
        <v>6</v>
      </c>
      <c r="O114" s="243" t="s">
        <v>372</v>
      </c>
      <c r="P114" s="244" t="s">
        <v>18</v>
      </c>
      <c r="Q114" s="500"/>
      <c r="R114" s="501"/>
      <c r="S114" s="245">
        <v>581.28499999999997</v>
      </c>
      <c r="T114" s="246">
        <v>0</v>
      </c>
      <c r="U114" s="164">
        <v>581.28499999999997</v>
      </c>
      <c r="V114" s="273">
        <f>+V115</f>
        <v>167.30860000000001</v>
      </c>
      <c r="W114" s="273">
        <f t="shared" si="1"/>
        <v>28.782542126495613</v>
      </c>
    </row>
    <row r="115" spans="1:23" ht="21.75" customHeight="1" x14ac:dyDescent="0.2">
      <c r="A115" s="78"/>
      <c r="B115" s="498" t="s">
        <v>37</v>
      </c>
      <c r="C115" s="498"/>
      <c r="D115" s="498"/>
      <c r="E115" s="498"/>
      <c r="F115" s="498"/>
      <c r="G115" s="498"/>
      <c r="H115" s="498"/>
      <c r="I115" s="498"/>
      <c r="J115" s="498"/>
      <c r="K115" s="498"/>
      <c r="L115" s="499"/>
      <c r="M115" s="242">
        <v>1</v>
      </c>
      <c r="N115" s="242">
        <v>6</v>
      </c>
      <c r="O115" s="243" t="s">
        <v>372</v>
      </c>
      <c r="P115" s="244" t="s">
        <v>38</v>
      </c>
      <c r="Q115" s="500"/>
      <c r="R115" s="501"/>
      <c r="S115" s="245">
        <v>581.28499999999997</v>
      </c>
      <c r="T115" s="246">
        <v>0</v>
      </c>
      <c r="U115" s="164">
        <v>581.28499999999997</v>
      </c>
      <c r="V115" s="273">
        <f>+V116+V117</f>
        <v>167.30860000000001</v>
      </c>
      <c r="W115" s="273">
        <f t="shared" si="1"/>
        <v>28.782542126495613</v>
      </c>
    </row>
    <row r="116" spans="1:23" ht="21.75" customHeight="1" x14ac:dyDescent="0.2">
      <c r="A116" s="78"/>
      <c r="B116" s="498" t="s">
        <v>333</v>
      </c>
      <c r="C116" s="498"/>
      <c r="D116" s="498"/>
      <c r="E116" s="498"/>
      <c r="F116" s="498"/>
      <c r="G116" s="498"/>
      <c r="H116" s="498"/>
      <c r="I116" s="498"/>
      <c r="J116" s="498"/>
      <c r="K116" s="498"/>
      <c r="L116" s="499"/>
      <c r="M116" s="242">
        <v>1</v>
      </c>
      <c r="N116" s="242">
        <v>6</v>
      </c>
      <c r="O116" s="243" t="s">
        <v>372</v>
      </c>
      <c r="P116" s="244" t="s">
        <v>39</v>
      </c>
      <c r="Q116" s="500"/>
      <c r="R116" s="501"/>
      <c r="S116" s="245">
        <v>446.45499999999998</v>
      </c>
      <c r="T116" s="246">
        <v>0</v>
      </c>
      <c r="U116" s="164">
        <v>446.45499999999998</v>
      </c>
      <c r="V116" s="273">
        <f>+'11'!AG368</f>
        <v>129.42289</v>
      </c>
      <c r="W116" s="273">
        <f t="shared" si="1"/>
        <v>28.989011210536336</v>
      </c>
    </row>
    <row r="117" spans="1:23" ht="32.25" customHeight="1" x14ac:dyDescent="0.2">
      <c r="A117" s="78"/>
      <c r="B117" s="498" t="s">
        <v>334</v>
      </c>
      <c r="C117" s="498"/>
      <c r="D117" s="498"/>
      <c r="E117" s="498"/>
      <c r="F117" s="498"/>
      <c r="G117" s="498"/>
      <c r="H117" s="498"/>
      <c r="I117" s="498"/>
      <c r="J117" s="498"/>
      <c r="K117" s="498"/>
      <c r="L117" s="499"/>
      <c r="M117" s="242">
        <v>1</v>
      </c>
      <c r="N117" s="242">
        <v>6</v>
      </c>
      <c r="O117" s="243" t="s">
        <v>372</v>
      </c>
      <c r="P117" s="244" t="s">
        <v>41</v>
      </c>
      <c r="Q117" s="500"/>
      <c r="R117" s="501"/>
      <c r="S117" s="245">
        <v>134.83000000000001</v>
      </c>
      <c r="T117" s="246">
        <v>0</v>
      </c>
      <c r="U117" s="164">
        <v>134.83000000000001</v>
      </c>
      <c r="V117" s="273">
        <f>+'11'!AG369</f>
        <v>37.885710000000003</v>
      </c>
      <c r="W117" s="273">
        <f t="shared" si="1"/>
        <v>28.098872654453753</v>
      </c>
    </row>
    <row r="118" spans="1:23" ht="32.25" customHeight="1" x14ac:dyDescent="0.2">
      <c r="A118" s="78"/>
      <c r="B118" s="498" t="s">
        <v>373</v>
      </c>
      <c r="C118" s="498"/>
      <c r="D118" s="498"/>
      <c r="E118" s="498"/>
      <c r="F118" s="498"/>
      <c r="G118" s="498"/>
      <c r="H118" s="498"/>
      <c r="I118" s="498"/>
      <c r="J118" s="498"/>
      <c r="K118" s="498"/>
      <c r="L118" s="499"/>
      <c r="M118" s="242">
        <v>1</v>
      </c>
      <c r="N118" s="242">
        <v>6</v>
      </c>
      <c r="O118" s="243" t="s">
        <v>374</v>
      </c>
      <c r="P118" s="244">
        <v>0</v>
      </c>
      <c r="Q118" s="500"/>
      <c r="R118" s="501"/>
      <c r="S118" s="245">
        <v>68.968999999999994</v>
      </c>
      <c r="T118" s="246">
        <v>0</v>
      </c>
      <c r="U118" s="164">
        <v>68.968999999999994</v>
      </c>
      <c r="V118" s="273">
        <f>+V119</f>
        <v>36.058300000000003</v>
      </c>
      <c r="W118" s="273">
        <f t="shared" si="1"/>
        <v>52.281894764314409</v>
      </c>
    </row>
    <row r="119" spans="1:23" ht="21.75" customHeight="1" x14ac:dyDescent="0.2">
      <c r="A119" s="78"/>
      <c r="B119" s="498" t="s">
        <v>345</v>
      </c>
      <c r="C119" s="498"/>
      <c r="D119" s="498"/>
      <c r="E119" s="498"/>
      <c r="F119" s="498"/>
      <c r="G119" s="498"/>
      <c r="H119" s="498"/>
      <c r="I119" s="498"/>
      <c r="J119" s="498"/>
      <c r="K119" s="498"/>
      <c r="L119" s="499"/>
      <c r="M119" s="242">
        <v>1</v>
      </c>
      <c r="N119" s="242">
        <v>6</v>
      </c>
      <c r="O119" s="243" t="s">
        <v>374</v>
      </c>
      <c r="P119" s="244" t="s">
        <v>24</v>
      </c>
      <c r="Q119" s="500"/>
      <c r="R119" s="501"/>
      <c r="S119" s="245">
        <v>68.968999999999994</v>
      </c>
      <c r="T119" s="246">
        <v>0</v>
      </c>
      <c r="U119" s="164">
        <v>68.968999999999994</v>
      </c>
      <c r="V119" s="273">
        <f>+V120</f>
        <v>36.058300000000003</v>
      </c>
      <c r="W119" s="273">
        <f t="shared" si="1"/>
        <v>52.281894764314409</v>
      </c>
    </row>
    <row r="120" spans="1:23" ht="21.75" customHeight="1" x14ac:dyDescent="0.2">
      <c r="A120" s="78"/>
      <c r="B120" s="498" t="s">
        <v>346</v>
      </c>
      <c r="C120" s="498"/>
      <c r="D120" s="498"/>
      <c r="E120" s="498"/>
      <c r="F120" s="498"/>
      <c r="G120" s="498"/>
      <c r="H120" s="498"/>
      <c r="I120" s="498"/>
      <c r="J120" s="498"/>
      <c r="K120" s="498"/>
      <c r="L120" s="499"/>
      <c r="M120" s="242">
        <v>1</v>
      </c>
      <c r="N120" s="242">
        <v>6</v>
      </c>
      <c r="O120" s="243" t="s">
        <v>374</v>
      </c>
      <c r="P120" s="244" t="s">
        <v>26</v>
      </c>
      <c r="Q120" s="500"/>
      <c r="R120" s="501"/>
      <c r="S120" s="245">
        <v>68.968999999999994</v>
      </c>
      <c r="T120" s="246">
        <v>0</v>
      </c>
      <c r="U120" s="164">
        <v>68.968999999999994</v>
      </c>
      <c r="V120" s="273">
        <f>+V121+V122</f>
        <v>36.058300000000003</v>
      </c>
      <c r="W120" s="273">
        <f t="shared" si="1"/>
        <v>52.281894764314409</v>
      </c>
    </row>
    <row r="121" spans="1:23" ht="21.75" customHeight="1" x14ac:dyDescent="0.2">
      <c r="A121" s="78"/>
      <c r="B121" s="498" t="s">
        <v>347</v>
      </c>
      <c r="C121" s="498"/>
      <c r="D121" s="498"/>
      <c r="E121" s="498"/>
      <c r="F121" s="498"/>
      <c r="G121" s="498"/>
      <c r="H121" s="498"/>
      <c r="I121" s="498"/>
      <c r="J121" s="498"/>
      <c r="K121" s="498"/>
      <c r="L121" s="499"/>
      <c r="M121" s="242">
        <v>1</v>
      </c>
      <c r="N121" s="242">
        <v>6</v>
      </c>
      <c r="O121" s="243" t="s">
        <v>374</v>
      </c>
      <c r="P121" s="244" t="s">
        <v>27</v>
      </c>
      <c r="Q121" s="500"/>
      <c r="R121" s="501"/>
      <c r="S121" s="245">
        <v>38.448999999999998</v>
      </c>
      <c r="T121" s="246">
        <v>0</v>
      </c>
      <c r="U121" s="164">
        <v>38.448999999999998</v>
      </c>
      <c r="V121" s="273">
        <f>+'11'!AG373</f>
        <v>5.5382999999999996</v>
      </c>
      <c r="W121" s="273">
        <f t="shared" si="1"/>
        <v>14.404275793908813</v>
      </c>
    </row>
    <row r="122" spans="1:23" ht="12.75" customHeight="1" x14ac:dyDescent="0.2">
      <c r="A122" s="78"/>
      <c r="B122" s="498" t="s">
        <v>348</v>
      </c>
      <c r="C122" s="498"/>
      <c r="D122" s="498"/>
      <c r="E122" s="498"/>
      <c r="F122" s="498"/>
      <c r="G122" s="498"/>
      <c r="H122" s="498"/>
      <c r="I122" s="498"/>
      <c r="J122" s="498"/>
      <c r="K122" s="498"/>
      <c r="L122" s="499"/>
      <c r="M122" s="242">
        <v>1</v>
      </c>
      <c r="N122" s="242">
        <v>6</v>
      </c>
      <c r="O122" s="243" t="s">
        <v>374</v>
      </c>
      <c r="P122" s="244" t="s">
        <v>28</v>
      </c>
      <c r="Q122" s="500"/>
      <c r="R122" s="501"/>
      <c r="S122" s="245">
        <v>30.52</v>
      </c>
      <c r="T122" s="246">
        <v>0</v>
      </c>
      <c r="U122" s="164">
        <v>30.52</v>
      </c>
      <c r="V122" s="273">
        <f>+'11'!AG374</f>
        <v>30.52</v>
      </c>
      <c r="W122" s="273">
        <f t="shared" si="1"/>
        <v>100</v>
      </c>
    </row>
    <row r="123" spans="1:23" ht="12.75" customHeight="1" x14ac:dyDescent="0.25">
      <c r="A123" s="78"/>
      <c r="B123" s="502" t="s">
        <v>302</v>
      </c>
      <c r="C123" s="502"/>
      <c r="D123" s="502"/>
      <c r="E123" s="502"/>
      <c r="F123" s="502"/>
      <c r="G123" s="502"/>
      <c r="H123" s="502"/>
      <c r="I123" s="502"/>
      <c r="J123" s="502"/>
      <c r="K123" s="502"/>
      <c r="L123" s="503"/>
      <c r="M123" s="237">
        <v>1</v>
      </c>
      <c r="N123" s="237">
        <v>7</v>
      </c>
      <c r="O123" s="238">
        <v>0</v>
      </c>
      <c r="P123" s="239">
        <v>0</v>
      </c>
      <c r="Q123" s="504"/>
      <c r="R123" s="505"/>
      <c r="S123" s="240">
        <v>292</v>
      </c>
      <c r="T123" s="241">
        <v>0</v>
      </c>
      <c r="U123" s="274">
        <v>292</v>
      </c>
      <c r="V123" s="273">
        <f>+V124</f>
        <v>0</v>
      </c>
      <c r="W123" s="273">
        <f t="shared" si="1"/>
        <v>0</v>
      </c>
    </row>
    <row r="124" spans="1:23" ht="21.75" customHeight="1" x14ac:dyDescent="0.2">
      <c r="A124" s="78"/>
      <c r="B124" s="498" t="s">
        <v>375</v>
      </c>
      <c r="C124" s="498"/>
      <c r="D124" s="498"/>
      <c r="E124" s="498"/>
      <c r="F124" s="498"/>
      <c r="G124" s="498"/>
      <c r="H124" s="498"/>
      <c r="I124" s="498"/>
      <c r="J124" s="498"/>
      <c r="K124" s="498"/>
      <c r="L124" s="499"/>
      <c r="M124" s="242">
        <v>1</v>
      </c>
      <c r="N124" s="242">
        <v>7</v>
      </c>
      <c r="O124" s="243" t="s">
        <v>376</v>
      </c>
      <c r="P124" s="244">
        <v>0</v>
      </c>
      <c r="Q124" s="500"/>
      <c r="R124" s="501"/>
      <c r="S124" s="245">
        <v>292</v>
      </c>
      <c r="T124" s="246">
        <v>0</v>
      </c>
      <c r="U124" s="164">
        <v>292</v>
      </c>
      <c r="V124" s="273">
        <f>+V125</f>
        <v>0</v>
      </c>
      <c r="W124" s="273">
        <f t="shared" si="1"/>
        <v>0</v>
      </c>
    </row>
    <row r="125" spans="1:23" ht="21.75" customHeight="1" x14ac:dyDescent="0.2">
      <c r="A125" s="78"/>
      <c r="B125" s="498" t="s">
        <v>377</v>
      </c>
      <c r="C125" s="498"/>
      <c r="D125" s="498"/>
      <c r="E125" s="498"/>
      <c r="F125" s="498"/>
      <c r="G125" s="498"/>
      <c r="H125" s="498"/>
      <c r="I125" s="498"/>
      <c r="J125" s="498"/>
      <c r="K125" s="498"/>
      <c r="L125" s="499"/>
      <c r="M125" s="242">
        <v>1</v>
      </c>
      <c r="N125" s="242">
        <v>7</v>
      </c>
      <c r="O125" s="243" t="s">
        <v>378</v>
      </c>
      <c r="P125" s="244">
        <v>0</v>
      </c>
      <c r="Q125" s="500"/>
      <c r="R125" s="501"/>
      <c r="S125" s="245">
        <v>292</v>
      </c>
      <c r="T125" s="246">
        <v>0</v>
      </c>
      <c r="U125" s="164">
        <v>292</v>
      </c>
      <c r="V125" s="273">
        <f>+V126</f>
        <v>0</v>
      </c>
      <c r="W125" s="273">
        <f t="shared" si="1"/>
        <v>0</v>
      </c>
    </row>
    <row r="126" spans="1:23" ht="12.75" customHeight="1" x14ac:dyDescent="0.2">
      <c r="A126" s="78"/>
      <c r="B126" s="498" t="s">
        <v>29</v>
      </c>
      <c r="C126" s="498"/>
      <c r="D126" s="498"/>
      <c r="E126" s="498"/>
      <c r="F126" s="498"/>
      <c r="G126" s="498"/>
      <c r="H126" s="498"/>
      <c r="I126" s="498"/>
      <c r="J126" s="498"/>
      <c r="K126" s="498"/>
      <c r="L126" s="499"/>
      <c r="M126" s="242">
        <v>1</v>
      </c>
      <c r="N126" s="242">
        <v>7</v>
      </c>
      <c r="O126" s="243" t="s">
        <v>378</v>
      </c>
      <c r="P126" s="244" t="s">
        <v>30</v>
      </c>
      <c r="Q126" s="500"/>
      <c r="R126" s="501"/>
      <c r="S126" s="245">
        <v>292</v>
      </c>
      <c r="T126" s="246">
        <v>0</v>
      </c>
      <c r="U126" s="164">
        <v>292</v>
      </c>
      <c r="V126" s="273">
        <f>+V127</f>
        <v>0</v>
      </c>
      <c r="W126" s="273">
        <f t="shared" si="1"/>
        <v>0</v>
      </c>
    </row>
    <row r="127" spans="1:23" ht="12.75" customHeight="1" x14ac:dyDescent="0.2">
      <c r="A127" s="78"/>
      <c r="B127" s="498" t="s">
        <v>303</v>
      </c>
      <c r="C127" s="498"/>
      <c r="D127" s="498"/>
      <c r="E127" s="498"/>
      <c r="F127" s="498"/>
      <c r="G127" s="498"/>
      <c r="H127" s="498"/>
      <c r="I127" s="498"/>
      <c r="J127" s="498"/>
      <c r="K127" s="498"/>
      <c r="L127" s="499"/>
      <c r="M127" s="242">
        <v>1</v>
      </c>
      <c r="N127" s="242">
        <v>7</v>
      </c>
      <c r="O127" s="243" t="s">
        <v>378</v>
      </c>
      <c r="P127" s="244" t="s">
        <v>304</v>
      </c>
      <c r="Q127" s="500"/>
      <c r="R127" s="501"/>
      <c r="S127" s="245">
        <v>292</v>
      </c>
      <c r="T127" s="246">
        <v>0</v>
      </c>
      <c r="U127" s="164">
        <v>292</v>
      </c>
      <c r="V127" s="273"/>
      <c r="W127" s="273">
        <f t="shared" si="1"/>
        <v>0</v>
      </c>
    </row>
    <row r="128" spans="1:23" ht="12.75" customHeight="1" x14ac:dyDescent="0.25">
      <c r="A128" s="78"/>
      <c r="B128" s="502" t="s">
        <v>84</v>
      </c>
      <c r="C128" s="502"/>
      <c r="D128" s="502"/>
      <c r="E128" s="502"/>
      <c r="F128" s="502"/>
      <c r="G128" s="502"/>
      <c r="H128" s="502"/>
      <c r="I128" s="502"/>
      <c r="J128" s="502"/>
      <c r="K128" s="502"/>
      <c r="L128" s="503"/>
      <c r="M128" s="237">
        <v>1</v>
      </c>
      <c r="N128" s="237">
        <v>11</v>
      </c>
      <c r="O128" s="238">
        <v>0</v>
      </c>
      <c r="P128" s="239">
        <v>0</v>
      </c>
      <c r="Q128" s="504"/>
      <c r="R128" s="505"/>
      <c r="S128" s="240">
        <v>100</v>
      </c>
      <c r="T128" s="241">
        <v>0</v>
      </c>
      <c r="U128" s="274">
        <v>100</v>
      </c>
      <c r="V128" s="273">
        <f>+V129</f>
        <v>0</v>
      </c>
      <c r="W128" s="273">
        <f t="shared" si="1"/>
        <v>0</v>
      </c>
    </row>
    <row r="129" spans="1:23" ht="21.75" customHeight="1" x14ac:dyDescent="0.2">
      <c r="A129" s="78"/>
      <c r="B129" s="498" t="s">
        <v>379</v>
      </c>
      <c r="C129" s="498"/>
      <c r="D129" s="498"/>
      <c r="E129" s="498"/>
      <c r="F129" s="498"/>
      <c r="G129" s="498"/>
      <c r="H129" s="498"/>
      <c r="I129" s="498"/>
      <c r="J129" s="498"/>
      <c r="K129" s="498"/>
      <c r="L129" s="499"/>
      <c r="M129" s="242">
        <v>1</v>
      </c>
      <c r="N129" s="242">
        <v>11</v>
      </c>
      <c r="O129" s="243" t="s">
        <v>380</v>
      </c>
      <c r="P129" s="244">
        <v>0</v>
      </c>
      <c r="Q129" s="500"/>
      <c r="R129" s="501"/>
      <c r="S129" s="245">
        <v>100</v>
      </c>
      <c r="T129" s="246">
        <v>0</v>
      </c>
      <c r="U129" s="164">
        <v>100</v>
      </c>
      <c r="V129" s="273">
        <f>+V130</f>
        <v>0</v>
      </c>
      <c r="W129" s="273">
        <f t="shared" si="1"/>
        <v>0</v>
      </c>
    </row>
    <row r="130" spans="1:23" ht="12.75" customHeight="1" x14ac:dyDescent="0.2">
      <c r="A130" s="78"/>
      <c r="B130" s="498" t="s">
        <v>381</v>
      </c>
      <c r="C130" s="498"/>
      <c r="D130" s="498"/>
      <c r="E130" s="498"/>
      <c r="F130" s="498"/>
      <c r="G130" s="498"/>
      <c r="H130" s="498"/>
      <c r="I130" s="498"/>
      <c r="J130" s="498"/>
      <c r="K130" s="498"/>
      <c r="L130" s="499"/>
      <c r="M130" s="242">
        <v>1</v>
      </c>
      <c r="N130" s="242">
        <v>11</v>
      </c>
      <c r="O130" s="243" t="s">
        <v>382</v>
      </c>
      <c r="P130" s="244">
        <v>0</v>
      </c>
      <c r="Q130" s="500"/>
      <c r="R130" s="501"/>
      <c r="S130" s="245">
        <v>100</v>
      </c>
      <c r="T130" s="246">
        <v>0</v>
      </c>
      <c r="U130" s="164">
        <v>100</v>
      </c>
      <c r="V130" s="273">
        <f>+V131</f>
        <v>0</v>
      </c>
      <c r="W130" s="273">
        <f t="shared" si="1"/>
        <v>0</v>
      </c>
    </row>
    <row r="131" spans="1:23" ht="12.75" customHeight="1" x14ac:dyDescent="0.2">
      <c r="A131" s="78"/>
      <c r="B131" s="498" t="s">
        <v>29</v>
      </c>
      <c r="C131" s="498"/>
      <c r="D131" s="498"/>
      <c r="E131" s="498"/>
      <c r="F131" s="498"/>
      <c r="G131" s="498"/>
      <c r="H131" s="498"/>
      <c r="I131" s="498"/>
      <c r="J131" s="498"/>
      <c r="K131" s="498"/>
      <c r="L131" s="499"/>
      <c r="M131" s="242">
        <v>1</v>
      </c>
      <c r="N131" s="242">
        <v>11</v>
      </c>
      <c r="O131" s="243" t="s">
        <v>382</v>
      </c>
      <c r="P131" s="244" t="s">
        <v>30</v>
      </c>
      <c r="Q131" s="500"/>
      <c r="R131" s="501"/>
      <c r="S131" s="245">
        <v>100</v>
      </c>
      <c r="T131" s="246">
        <v>0</v>
      </c>
      <c r="U131" s="164">
        <v>100</v>
      </c>
      <c r="V131" s="273">
        <f>+V132</f>
        <v>0</v>
      </c>
      <c r="W131" s="273">
        <f t="shared" si="1"/>
        <v>0</v>
      </c>
    </row>
    <row r="132" spans="1:23" ht="12.75" customHeight="1" x14ac:dyDescent="0.2">
      <c r="A132" s="78"/>
      <c r="B132" s="498" t="s">
        <v>83</v>
      </c>
      <c r="C132" s="498"/>
      <c r="D132" s="498"/>
      <c r="E132" s="498"/>
      <c r="F132" s="498"/>
      <c r="G132" s="498"/>
      <c r="H132" s="498"/>
      <c r="I132" s="498"/>
      <c r="J132" s="498"/>
      <c r="K132" s="498"/>
      <c r="L132" s="499"/>
      <c r="M132" s="242">
        <v>1</v>
      </c>
      <c r="N132" s="242">
        <v>11</v>
      </c>
      <c r="O132" s="243" t="s">
        <v>382</v>
      </c>
      <c r="P132" s="244" t="s">
        <v>383</v>
      </c>
      <c r="Q132" s="500"/>
      <c r="R132" s="501"/>
      <c r="S132" s="245">
        <v>100</v>
      </c>
      <c r="T132" s="246">
        <v>0</v>
      </c>
      <c r="U132" s="164">
        <v>100</v>
      </c>
      <c r="V132" s="273"/>
      <c r="W132" s="273">
        <f t="shared" si="1"/>
        <v>0</v>
      </c>
    </row>
    <row r="133" spans="1:23" ht="12.75" customHeight="1" x14ac:dyDescent="0.25">
      <c r="A133" s="78"/>
      <c r="B133" s="502" t="s">
        <v>85</v>
      </c>
      <c r="C133" s="502"/>
      <c r="D133" s="502"/>
      <c r="E133" s="502"/>
      <c r="F133" s="502"/>
      <c r="G133" s="502"/>
      <c r="H133" s="502"/>
      <c r="I133" s="502"/>
      <c r="J133" s="502"/>
      <c r="K133" s="502"/>
      <c r="L133" s="503"/>
      <c r="M133" s="237">
        <v>1</v>
      </c>
      <c r="N133" s="237">
        <v>13</v>
      </c>
      <c r="O133" s="238">
        <v>0</v>
      </c>
      <c r="P133" s="239">
        <v>0</v>
      </c>
      <c r="Q133" s="504"/>
      <c r="R133" s="505"/>
      <c r="S133" s="240">
        <v>5458.4709999999995</v>
      </c>
      <c r="T133" s="241">
        <v>0</v>
      </c>
      <c r="U133" s="274">
        <v>5458.4709999999995</v>
      </c>
      <c r="V133" s="273">
        <f>+V134+V140+V146+V150+V155+V161+V171</f>
        <v>1527.95171</v>
      </c>
      <c r="W133" s="273">
        <f t="shared" si="1"/>
        <v>27.992302423151099</v>
      </c>
    </row>
    <row r="134" spans="1:23" ht="21.75" customHeight="1" x14ac:dyDescent="0.2">
      <c r="A134" s="78"/>
      <c r="B134" s="498" t="s">
        <v>384</v>
      </c>
      <c r="C134" s="498"/>
      <c r="D134" s="498"/>
      <c r="E134" s="498"/>
      <c r="F134" s="498"/>
      <c r="G134" s="498"/>
      <c r="H134" s="498"/>
      <c r="I134" s="498"/>
      <c r="J134" s="498"/>
      <c r="K134" s="498"/>
      <c r="L134" s="499"/>
      <c r="M134" s="242">
        <v>1</v>
      </c>
      <c r="N134" s="242">
        <v>13</v>
      </c>
      <c r="O134" s="243" t="s">
        <v>385</v>
      </c>
      <c r="P134" s="244">
        <v>0</v>
      </c>
      <c r="Q134" s="500"/>
      <c r="R134" s="501"/>
      <c r="S134" s="245">
        <v>64</v>
      </c>
      <c r="T134" s="246">
        <v>0</v>
      </c>
      <c r="U134" s="164">
        <v>64</v>
      </c>
      <c r="V134" s="273">
        <f>+V135</f>
        <v>26</v>
      </c>
      <c r="W134" s="273">
        <f t="shared" si="1"/>
        <v>40.625</v>
      </c>
    </row>
    <row r="135" spans="1:23" ht="12.75" customHeight="1" x14ac:dyDescent="0.2">
      <c r="A135" s="78"/>
      <c r="B135" s="498" t="s">
        <v>386</v>
      </c>
      <c r="C135" s="498"/>
      <c r="D135" s="498"/>
      <c r="E135" s="498"/>
      <c r="F135" s="498"/>
      <c r="G135" s="498"/>
      <c r="H135" s="498"/>
      <c r="I135" s="498"/>
      <c r="J135" s="498"/>
      <c r="K135" s="498"/>
      <c r="L135" s="499"/>
      <c r="M135" s="242">
        <v>1</v>
      </c>
      <c r="N135" s="242">
        <v>13</v>
      </c>
      <c r="O135" s="243" t="s">
        <v>387</v>
      </c>
      <c r="P135" s="244">
        <v>0</v>
      </c>
      <c r="Q135" s="500"/>
      <c r="R135" s="501"/>
      <c r="S135" s="245">
        <v>64</v>
      </c>
      <c r="T135" s="246">
        <v>0</v>
      </c>
      <c r="U135" s="164">
        <v>64</v>
      </c>
      <c r="V135" s="273">
        <f>+V136</f>
        <v>26</v>
      </c>
      <c r="W135" s="273">
        <f t="shared" si="1"/>
        <v>40.625</v>
      </c>
    </row>
    <row r="136" spans="1:23" ht="32.25" customHeight="1" x14ac:dyDescent="0.2">
      <c r="A136" s="78"/>
      <c r="B136" s="498" t="s">
        <v>388</v>
      </c>
      <c r="C136" s="498"/>
      <c r="D136" s="498"/>
      <c r="E136" s="498"/>
      <c r="F136" s="498"/>
      <c r="G136" s="498"/>
      <c r="H136" s="498"/>
      <c r="I136" s="498"/>
      <c r="J136" s="498"/>
      <c r="K136" s="498"/>
      <c r="L136" s="499"/>
      <c r="M136" s="242">
        <v>1</v>
      </c>
      <c r="N136" s="242">
        <v>13</v>
      </c>
      <c r="O136" s="243" t="s">
        <v>389</v>
      </c>
      <c r="P136" s="244">
        <v>0</v>
      </c>
      <c r="Q136" s="500"/>
      <c r="R136" s="501"/>
      <c r="S136" s="245">
        <v>64</v>
      </c>
      <c r="T136" s="246">
        <v>0</v>
      </c>
      <c r="U136" s="164">
        <v>64</v>
      </c>
      <c r="V136" s="273">
        <f>+V137</f>
        <v>26</v>
      </c>
      <c r="W136" s="273">
        <f t="shared" si="1"/>
        <v>40.625</v>
      </c>
    </row>
    <row r="137" spans="1:23" ht="21.75" customHeight="1" x14ac:dyDescent="0.2">
      <c r="A137" s="78"/>
      <c r="B137" s="498" t="s">
        <v>345</v>
      </c>
      <c r="C137" s="498"/>
      <c r="D137" s="498"/>
      <c r="E137" s="498"/>
      <c r="F137" s="498"/>
      <c r="G137" s="498"/>
      <c r="H137" s="498"/>
      <c r="I137" s="498"/>
      <c r="J137" s="498"/>
      <c r="K137" s="498"/>
      <c r="L137" s="499"/>
      <c r="M137" s="242">
        <v>1</v>
      </c>
      <c r="N137" s="242">
        <v>13</v>
      </c>
      <c r="O137" s="243" t="s">
        <v>389</v>
      </c>
      <c r="P137" s="244" t="s">
        <v>24</v>
      </c>
      <c r="Q137" s="500"/>
      <c r="R137" s="501"/>
      <c r="S137" s="245">
        <v>64</v>
      </c>
      <c r="T137" s="246">
        <v>0</v>
      </c>
      <c r="U137" s="164">
        <v>64</v>
      </c>
      <c r="V137" s="273">
        <f>+V138</f>
        <v>26</v>
      </c>
      <c r="W137" s="273">
        <f t="shared" si="1"/>
        <v>40.625</v>
      </c>
    </row>
    <row r="138" spans="1:23" ht="21.75" customHeight="1" x14ac:dyDescent="0.2">
      <c r="A138" s="78"/>
      <c r="B138" s="498" t="s">
        <v>346</v>
      </c>
      <c r="C138" s="498"/>
      <c r="D138" s="498"/>
      <c r="E138" s="498"/>
      <c r="F138" s="498"/>
      <c r="G138" s="498"/>
      <c r="H138" s="498"/>
      <c r="I138" s="498"/>
      <c r="J138" s="498"/>
      <c r="K138" s="498"/>
      <c r="L138" s="499"/>
      <c r="M138" s="242">
        <v>1</v>
      </c>
      <c r="N138" s="242">
        <v>13</v>
      </c>
      <c r="O138" s="243" t="s">
        <v>389</v>
      </c>
      <c r="P138" s="244" t="s">
        <v>26</v>
      </c>
      <c r="Q138" s="500"/>
      <c r="R138" s="501"/>
      <c r="S138" s="245">
        <v>64</v>
      </c>
      <c r="T138" s="246">
        <v>0</v>
      </c>
      <c r="U138" s="164">
        <v>64</v>
      </c>
      <c r="V138" s="273">
        <f>+V139</f>
        <v>26</v>
      </c>
      <c r="W138" s="273">
        <f t="shared" si="1"/>
        <v>40.625</v>
      </c>
    </row>
    <row r="139" spans="1:23" ht="12.75" customHeight="1" x14ac:dyDescent="0.2">
      <c r="A139" s="78"/>
      <c r="B139" s="498" t="s">
        <v>348</v>
      </c>
      <c r="C139" s="498"/>
      <c r="D139" s="498"/>
      <c r="E139" s="498"/>
      <c r="F139" s="498"/>
      <c r="G139" s="498"/>
      <c r="H139" s="498"/>
      <c r="I139" s="498"/>
      <c r="J139" s="498"/>
      <c r="K139" s="498"/>
      <c r="L139" s="499"/>
      <c r="M139" s="242">
        <v>1</v>
      </c>
      <c r="N139" s="242">
        <v>13</v>
      </c>
      <c r="O139" s="243" t="s">
        <v>389</v>
      </c>
      <c r="P139" s="244" t="s">
        <v>28</v>
      </c>
      <c r="Q139" s="500"/>
      <c r="R139" s="501"/>
      <c r="S139" s="245">
        <v>64</v>
      </c>
      <c r="T139" s="246">
        <v>0</v>
      </c>
      <c r="U139" s="164">
        <v>64</v>
      </c>
      <c r="V139" s="273">
        <f>+'11'!AG432</f>
        <v>26</v>
      </c>
      <c r="W139" s="273">
        <f t="shared" si="1"/>
        <v>40.625</v>
      </c>
    </row>
    <row r="140" spans="1:23" ht="21.75" customHeight="1" x14ac:dyDescent="0.2">
      <c r="A140" s="78"/>
      <c r="B140" s="498" t="s">
        <v>86</v>
      </c>
      <c r="C140" s="498"/>
      <c r="D140" s="498"/>
      <c r="E140" s="498"/>
      <c r="F140" s="498"/>
      <c r="G140" s="498"/>
      <c r="H140" s="498"/>
      <c r="I140" s="498"/>
      <c r="J140" s="498"/>
      <c r="K140" s="498"/>
      <c r="L140" s="499"/>
      <c r="M140" s="242">
        <v>1</v>
      </c>
      <c r="N140" s="242">
        <v>13</v>
      </c>
      <c r="O140" s="243" t="s">
        <v>546</v>
      </c>
      <c r="P140" s="244">
        <v>0</v>
      </c>
      <c r="Q140" s="500"/>
      <c r="R140" s="501"/>
      <c r="S140" s="245">
        <v>100</v>
      </c>
      <c r="T140" s="246">
        <v>0</v>
      </c>
      <c r="U140" s="164">
        <v>100</v>
      </c>
      <c r="V140" s="273">
        <f>+V141</f>
        <v>93.5</v>
      </c>
      <c r="W140" s="273">
        <f t="shared" si="1"/>
        <v>93.5</v>
      </c>
    </row>
    <row r="141" spans="1:23" ht="21.75" customHeight="1" x14ac:dyDescent="0.2">
      <c r="A141" s="78"/>
      <c r="B141" s="498" t="s">
        <v>547</v>
      </c>
      <c r="C141" s="498"/>
      <c r="D141" s="498"/>
      <c r="E141" s="498"/>
      <c r="F141" s="498"/>
      <c r="G141" s="498"/>
      <c r="H141" s="498"/>
      <c r="I141" s="498"/>
      <c r="J141" s="498"/>
      <c r="K141" s="498"/>
      <c r="L141" s="499"/>
      <c r="M141" s="242">
        <v>1</v>
      </c>
      <c r="N141" s="242">
        <v>13</v>
      </c>
      <c r="O141" s="243" t="s">
        <v>548</v>
      </c>
      <c r="P141" s="244">
        <v>0</v>
      </c>
      <c r="Q141" s="500"/>
      <c r="R141" s="501"/>
      <c r="S141" s="245">
        <v>100</v>
      </c>
      <c r="T141" s="246">
        <v>0</v>
      </c>
      <c r="U141" s="164">
        <v>100</v>
      </c>
      <c r="V141" s="273">
        <f>+V142</f>
        <v>93.5</v>
      </c>
      <c r="W141" s="273">
        <f t="shared" si="1"/>
        <v>93.5</v>
      </c>
    </row>
    <row r="142" spans="1:23" ht="21.75" customHeight="1" x14ac:dyDescent="0.2">
      <c r="A142" s="78"/>
      <c r="B142" s="498" t="s">
        <v>547</v>
      </c>
      <c r="C142" s="498"/>
      <c r="D142" s="498"/>
      <c r="E142" s="498"/>
      <c r="F142" s="498"/>
      <c r="G142" s="498"/>
      <c r="H142" s="498"/>
      <c r="I142" s="498"/>
      <c r="J142" s="498"/>
      <c r="K142" s="498"/>
      <c r="L142" s="499"/>
      <c r="M142" s="242">
        <v>1</v>
      </c>
      <c r="N142" s="242">
        <v>13</v>
      </c>
      <c r="O142" s="243" t="s">
        <v>549</v>
      </c>
      <c r="P142" s="244">
        <v>0</v>
      </c>
      <c r="Q142" s="500"/>
      <c r="R142" s="501"/>
      <c r="S142" s="245">
        <v>100</v>
      </c>
      <c r="T142" s="246">
        <v>0</v>
      </c>
      <c r="U142" s="164">
        <v>100</v>
      </c>
      <c r="V142" s="273">
        <f>+V143</f>
        <v>93.5</v>
      </c>
      <c r="W142" s="273">
        <f t="shared" si="1"/>
        <v>93.5</v>
      </c>
    </row>
    <row r="143" spans="1:23" ht="21.75" customHeight="1" x14ac:dyDescent="0.2">
      <c r="A143" s="78"/>
      <c r="B143" s="498" t="s">
        <v>345</v>
      </c>
      <c r="C143" s="498"/>
      <c r="D143" s="498"/>
      <c r="E143" s="498"/>
      <c r="F143" s="498"/>
      <c r="G143" s="498"/>
      <c r="H143" s="498"/>
      <c r="I143" s="498"/>
      <c r="J143" s="498"/>
      <c r="K143" s="498"/>
      <c r="L143" s="499"/>
      <c r="M143" s="242">
        <v>1</v>
      </c>
      <c r="N143" s="242">
        <v>13</v>
      </c>
      <c r="O143" s="243" t="s">
        <v>549</v>
      </c>
      <c r="P143" s="244" t="s">
        <v>24</v>
      </c>
      <c r="Q143" s="500"/>
      <c r="R143" s="501"/>
      <c r="S143" s="245">
        <v>100</v>
      </c>
      <c r="T143" s="246">
        <v>0</v>
      </c>
      <c r="U143" s="164">
        <v>100</v>
      </c>
      <c r="V143" s="273">
        <f>+V144</f>
        <v>93.5</v>
      </c>
      <c r="W143" s="273">
        <f t="shared" si="1"/>
        <v>93.5</v>
      </c>
    </row>
    <row r="144" spans="1:23" ht="21.75" customHeight="1" x14ac:dyDescent="0.2">
      <c r="A144" s="78"/>
      <c r="B144" s="498" t="s">
        <v>346</v>
      </c>
      <c r="C144" s="498"/>
      <c r="D144" s="498"/>
      <c r="E144" s="498"/>
      <c r="F144" s="498"/>
      <c r="G144" s="498"/>
      <c r="H144" s="498"/>
      <c r="I144" s="498"/>
      <c r="J144" s="498"/>
      <c r="K144" s="498"/>
      <c r="L144" s="499"/>
      <c r="M144" s="242">
        <v>1</v>
      </c>
      <c r="N144" s="242">
        <v>13</v>
      </c>
      <c r="O144" s="243" t="s">
        <v>549</v>
      </c>
      <c r="P144" s="244" t="s">
        <v>26</v>
      </c>
      <c r="Q144" s="500"/>
      <c r="R144" s="501"/>
      <c r="S144" s="245">
        <v>100</v>
      </c>
      <c r="T144" s="246">
        <v>0</v>
      </c>
      <c r="U144" s="164">
        <v>100</v>
      </c>
      <c r="V144" s="273">
        <f>+V145</f>
        <v>93.5</v>
      </c>
      <c r="W144" s="273">
        <f t="shared" si="1"/>
        <v>93.5</v>
      </c>
    </row>
    <row r="145" spans="1:23" ht="12.75" customHeight="1" x14ac:dyDescent="0.2">
      <c r="A145" s="78"/>
      <c r="B145" s="498" t="s">
        <v>348</v>
      </c>
      <c r="C145" s="498"/>
      <c r="D145" s="498"/>
      <c r="E145" s="498"/>
      <c r="F145" s="498"/>
      <c r="G145" s="498"/>
      <c r="H145" s="498"/>
      <c r="I145" s="498"/>
      <c r="J145" s="498"/>
      <c r="K145" s="498"/>
      <c r="L145" s="499"/>
      <c r="M145" s="242">
        <v>1</v>
      </c>
      <c r="N145" s="242">
        <v>13</v>
      </c>
      <c r="O145" s="243" t="s">
        <v>549</v>
      </c>
      <c r="P145" s="244" t="s">
        <v>28</v>
      </c>
      <c r="Q145" s="500"/>
      <c r="R145" s="501"/>
      <c r="S145" s="245">
        <v>100</v>
      </c>
      <c r="T145" s="246">
        <v>0</v>
      </c>
      <c r="U145" s="164">
        <v>100</v>
      </c>
      <c r="V145" s="273">
        <f>+'11'!AG438</f>
        <v>93.5</v>
      </c>
      <c r="W145" s="273">
        <f t="shared" si="1"/>
        <v>93.5</v>
      </c>
    </row>
    <row r="146" spans="1:23" ht="53.25" customHeight="1" x14ac:dyDescent="0.2">
      <c r="A146" s="78"/>
      <c r="B146" s="498" t="s">
        <v>550</v>
      </c>
      <c r="C146" s="498"/>
      <c r="D146" s="498"/>
      <c r="E146" s="498"/>
      <c r="F146" s="498"/>
      <c r="G146" s="498"/>
      <c r="H146" s="498"/>
      <c r="I146" s="498"/>
      <c r="J146" s="498"/>
      <c r="K146" s="498"/>
      <c r="L146" s="499"/>
      <c r="M146" s="242">
        <v>1</v>
      </c>
      <c r="N146" s="242">
        <v>13</v>
      </c>
      <c r="O146" s="243" t="s">
        <v>551</v>
      </c>
      <c r="P146" s="244">
        <v>0</v>
      </c>
      <c r="Q146" s="500"/>
      <c r="R146" s="501"/>
      <c r="S146" s="245">
        <v>50</v>
      </c>
      <c r="T146" s="246">
        <v>0</v>
      </c>
      <c r="U146" s="164">
        <v>50</v>
      </c>
      <c r="V146" s="273">
        <f>+V147</f>
        <v>0</v>
      </c>
      <c r="W146" s="273">
        <f t="shared" si="1"/>
        <v>0</v>
      </c>
    </row>
    <row r="147" spans="1:23" ht="21.75" customHeight="1" x14ac:dyDescent="0.2">
      <c r="A147" s="78"/>
      <c r="B147" s="498" t="s">
        <v>345</v>
      </c>
      <c r="C147" s="498"/>
      <c r="D147" s="498"/>
      <c r="E147" s="498"/>
      <c r="F147" s="498"/>
      <c r="G147" s="498"/>
      <c r="H147" s="498"/>
      <c r="I147" s="498"/>
      <c r="J147" s="498"/>
      <c r="K147" s="498"/>
      <c r="L147" s="499"/>
      <c r="M147" s="242">
        <v>1</v>
      </c>
      <c r="N147" s="242">
        <v>13</v>
      </c>
      <c r="O147" s="243" t="s">
        <v>551</v>
      </c>
      <c r="P147" s="244" t="s">
        <v>24</v>
      </c>
      <c r="Q147" s="500"/>
      <c r="R147" s="501"/>
      <c r="S147" s="245">
        <v>50</v>
      </c>
      <c r="T147" s="246">
        <v>0</v>
      </c>
      <c r="U147" s="164">
        <v>50</v>
      </c>
      <c r="V147" s="273">
        <f>+V148</f>
        <v>0</v>
      </c>
      <c r="W147" s="273">
        <f t="shared" ref="W147:W210" si="2">V147/U147*100</f>
        <v>0</v>
      </c>
    </row>
    <row r="148" spans="1:23" ht="21.75" customHeight="1" x14ac:dyDescent="0.2">
      <c r="A148" s="78"/>
      <c r="B148" s="498" t="s">
        <v>346</v>
      </c>
      <c r="C148" s="498"/>
      <c r="D148" s="498"/>
      <c r="E148" s="498"/>
      <c r="F148" s="498"/>
      <c r="G148" s="498"/>
      <c r="H148" s="498"/>
      <c r="I148" s="498"/>
      <c r="J148" s="498"/>
      <c r="K148" s="498"/>
      <c r="L148" s="499"/>
      <c r="M148" s="242">
        <v>1</v>
      </c>
      <c r="N148" s="242">
        <v>13</v>
      </c>
      <c r="O148" s="243" t="s">
        <v>551</v>
      </c>
      <c r="P148" s="244" t="s">
        <v>26</v>
      </c>
      <c r="Q148" s="500"/>
      <c r="R148" s="501"/>
      <c r="S148" s="245">
        <v>50</v>
      </c>
      <c r="T148" s="246">
        <v>0</v>
      </c>
      <c r="U148" s="164">
        <v>50</v>
      </c>
      <c r="V148" s="273">
        <f>+V149</f>
        <v>0</v>
      </c>
      <c r="W148" s="273">
        <f t="shared" si="2"/>
        <v>0</v>
      </c>
    </row>
    <row r="149" spans="1:23" ht="12.75" customHeight="1" x14ac:dyDescent="0.2">
      <c r="A149" s="78"/>
      <c r="B149" s="498" t="s">
        <v>348</v>
      </c>
      <c r="C149" s="498"/>
      <c r="D149" s="498"/>
      <c r="E149" s="498"/>
      <c r="F149" s="498"/>
      <c r="G149" s="498"/>
      <c r="H149" s="498"/>
      <c r="I149" s="498"/>
      <c r="J149" s="498"/>
      <c r="K149" s="498"/>
      <c r="L149" s="499"/>
      <c r="M149" s="242">
        <v>1</v>
      </c>
      <c r="N149" s="242">
        <v>13</v>
      </c>
      <c r="O149" s="243" t="s">
        <v>551</v>
      </c>
      <c r="P149" s="244" t="s">
        <v>28</v>
      </c>
      <c r="Q149" s="500"/>
      <c r="R149" s="501"/>
      <c r="S149" s="245">
        <v>50</v>
      </c>
      <c r="T149" s="246">
        <v>0</v>
      </c>
      <c r="U149" s="164">
        <v>50</v>
      </c>
      <c r="V149" s="273">
        <f>+'11'!AG442</f>
        <v>0</v>
      </c>
      <c r="W149" s="273">
        <f t="shared" si="2"/>
        <v>0</v>
      </c>
    </row>
    <row r="150" spans="1:23" ht="53.25" customHeight="1" x14ac:dyDescent="0.2">
      <c r="A150" s="78"/>
      <c r="B150" s="498" t="s">
        <v>552</v>
      </c>
      <c r="C150" s="498"/>
      <c r="D150" s="498"/>
      <c r="E150" s="498"/>
      <c r="F150" s="498"/>
      <c r="G150" s="498"/>
      <c r="H150" s="498"/>
      <c r="I150" s="498"/>
      <c r="J150" s="498"/>
      <c r="K150" s="498"/>
      <c r="L150" s="499"/>
      <c r="M150" s="242">
        <v>1</v>
      </c>
      <c r="N150" s="242">
        <v>13</v>
      </c>
      <c r="O150" s="243" t="s">
        <v>553</v>
      </c>
      <c r="P150" s="244">
        <v>0</v>
      </c>
      <c r="Q150" s="500"/>
      <c r="R150" s="501"/>
      <c r="S150" s="245">
        <v>100</v>
      </c>
      <c r="T150" s="246">
        <v>0</v>
      </c>
      <c r="U150" s="164">
        <v>100</v>
      </c>
      <c r="V150" s="273">
        <f>+V151</f>
        <v>0</v>
      </c>
      <c r="W150" s="273">
        <f t="shared" si="2"/>
        <v>0</v>
      </c>
    </row>
    <row r="151" spans="1:23" ht="32.25" customHeight="1" x14ac:dyDescent="0.2">
      <c r="A151" s="78"/>
      <c r="B151" s="498" t="s">
        <v>554</v>
      </c>
      <c r="C151" s="498"/>
      <c r="D151" s="498"/>
      <c r="E151" s="498"/>
      <c r="F151" s="498"/>
      <c r="G151" s="498"/>
      <c r="H151" s="498"/>
      <c r="I151" s="498"/>
      <c r="J151" s="498"/>
      <c r="K151" s="498"/>
      <c r="L151" s="499"/>
      <c r="M151" s="242">
        <v>1</v>
      </c>
      <c r="N151" s="242">
        <v>13</v>
      </c>
      <c r="O151" s="243" t="s">
        <v>555</v>
      </c>
      <c r="P151" s="244">
        <v>0</v>
      </c>
      <c r="Q151" s="500"/>
      <c r="R151" s="501"/>
      <c r="S151" s="245">
        <v>100</v>
      </c>
      <c r="T151" s="246">
        <v>0</v>
      </c>
      <c r="U151" s="164">
        <v>100</v>
      </c>
      <c r="V151" s="273">
        <f>+V152</f>
        <v>0</v>
      </c>
      <c r="W151" s="273">
        <f t="shared" si="2"/>
        <v>0</v>
      </c>
    </row>
    <row r="152" spans="1:23" ht="21.75" customHeight="1" x14ac:dyDescent="0.2">
      <c r="A152" s="78"/>
      <c r="B152" s="498" t="s">
        <v>345</v>
      </c>
      <c r="C152" s="498"/>
      <c r="D152" s="498"/>
      <c r="E152" s="498"/>
      <c r="F152" s="498"/>
      <c r="G152" s="498"/>
      <c r="H152" s="498"/>
      <c r="I152" s="498"/>
      <c r="J152" s="498"/>
      <c r="K152" s="498"/>
      <c r="L152" s="499"/>
      <c r="M152" s="242">
        <v>1</v>
      </c>
      <c r="N152" s="242">
        <v>13</v>
      </c>
      <c r="O152" s="243" t="s">
        <v>555</v>
      </c>
      <c r="P152" s="244" t="s">
        <v>24</v>
      </c>
      <c r="Q152" s="500"/>
      <c r="R152" s="501"/>
      <c r="S152" s="245">
        <v>100</v>
      </c>
      <c r="T152" s="246">
        <v>0</v>
      </c>
      <c r="U152" s="164">
        <v>100</v>
      </c>
      <c r="V152" s="273">
        <f>+V153</f>
        <v>0</v>
      </c>
      <c r="W152" s="273">
        <f t="shared" si="2"/>
        <v>0</v>
      </c>
    </row>
    <row r="153" spans="1:23" ht="21.75" customHeight="1" x14ac:dyDescent="0.2">
      <c r="A153" s="78"/>
      <c r="B153" s="498" t="s">
        <v>346</v>
      </c>
      <c r="C153" s="498"/>
      <c r="D153" s="498"/>
      <c r="E153" s="498"/>
      <c r="F153" s="498"/>
      <c r="G153" s="498"/>
      <c r="H153" s="498"/>
      <c r="I153" s="498"/>
      <c r="J153" s="498"/>
      <c r="K153" s="498"/>
      <c r="L153" s="499"/>
      <c r="M153" s="242">
        <v>1</v>
      </c>
      <c r="N153" s="242">
        <v>13</v>
      </c>
      <c r="O153" s="243" t="s">
        <v>555</v>
      </c>
      <c r="P153" s="244" t="s">
        <v>26</v>
      </c>
      <c r="Q153" s="500"/>
      <c r="R153" s="501"/>
      <c r="S153" s="245">
        <v>100</v>
      </c>
      <c r="T153" s="246">
        <v>0</v>
      </c>
      <c r="U153" s="164">
        <v>100</v>
      </c>
      <c r="V153" s="273">
        <f>+V154</f>
        <v>0</v>
      </c>
      <c r="W153" s="273">
        <f t="shared" si="2"/>
        <v>0</v>
      </c>
    </row>
    <row r="154" spans="1:23" ht="12.75" customHeight="1" x14ac:dyDescent="0.2">
      <c r="A154" s="78"/>
      <c r="B154" s="498" t="s">
        <v>348</v>
      </c>
      <c r="C154" s="498"/>
      <c r="D154" s="498"/>
      <c r="E154" s="498"/>
      <c r="F154" s="498"/>
      <c r="G154" s="498"/>
      <c r="H154" s="498"/>
      <c r="I154" s="498"/>
      <c r="J154" s="498"/>
      <c r="K154" s="498"/>
      <c r="L154" s="499"/>
      <c r="M154" s="242">
        <v>1</v>
      </c>
      <c r="N154" s="242">
        <v>13</v>
      </c>
      <c r="O154" s="243" t="s">
        <v>555</v>
      </c>
      <c r="P154" s="244" t="s">
        <v>28</v>
      </c>
      <c r="Q154" s="500"/>
      <c r="R154" s="501"/>
      <c r="S154" s="245">
        <v>100</v>
      </c>
      <c r="T154" s="246">
        <v>0</v>
      </c>
      <c r="U154" s="164">
        <v>100</v>
      </c>
      <c r="V154" s="273">
        <f>+'11'!AG447</f>
        <v>0</v>
      </c>
      <c r="W154" s="273">
        <f t="shared" si="2"/>
        <v>0</v>
      </c>
    </row>
    <row r="155" spans="1:23" ht="32.25" customHeight="1" x14ac:dyDescent="0.2">
      <c r="A155" s="78"/>
      <c r="B155" s="498" t="s">
        <v>329</v>
      </c>
      <c r="C155" s="498"/>
      <c r="D155" s="498"/>
      <c r="E155" s="498"/>
      <c r="F155" s="498"/>
      <c r="G155" s="498"/>
      <c r="H155" s="498"/>
      <c r="I155" s="498"/>
      <c r="J155" s="498"/>
      <c r="K155" s="498"/>
      <c r="L155" s="499"/>
      <c r="M155" s="242">
        <v>1</v>
      </c>
      <c r="N155" s="242">
        <v>13</v>
      </c>
      <c r="O155" s="243" t="s">
        <v>330</v>
      </c>
      <c r="P155" s="244">
        <v>0</v>
      </c>
      <c r="Q155" s="500"/>
      <c r="R155" s="501"/>
      <c r="S155" s="245">
        <v>4207.1490000000003</v>
      </c>
      <c r="T155" s="246">
        <v>0</v>
      </c>
      <c r="U155" s="164">
        <v>4207.1490000000003</v>
      </c>
      <c r="V155" s="273">
        <f>+V156</f>
        <v>1213.8925300000001</v>
      </c>
      <c r="W155" s="273">
        <f t="shared" si="2"/>
        <v>28.853091012464738</v>
      </c>
    </row>
    <row r="156" spans="1:23" ht="21.75" customHeight="1" x14ac:dyDescent="0.2">
      <c r="A156" s="78"/>
      <c r="B156" s="498" t="s">
        <v>393</v>
      </c>
      <c r="C156" s="498"/>
      <c r="D156" s="498"/>
      <c r="E156" s="498"/>
      <c r="F156" s="498"/>
      <c r="G156" s="498"/>
      <c r="H156" s="498"/>
      <c r="I156" s="498"/>
      <c r="J156" s="498"/>
      <c r="K156" s="498"/>
      <c r="L156" s="499"/>
      <c r="M156" s="242">
        <v>1</v>
      </c>
      <c r="N156" s="242">
        <v>13</v>
      </c>
      <c r="O156" s="243" t="s">
        <v>394</v>
      </c>
      <c r="P156" s="244">
        <v>0</v>
      </c>
      <c r="Q156" s="500"/>
      <c r="R156" s="501"/>
      <c r="S156" s="245">
        <v>4207.1490000000003</v>
      </c>
      <c r="T156" s="246">
        <v>0</v>
      </c>
      <c r="U156" s="164">
        <v>4207.1490000000003</v>
      </c>
      <c r="V156" s="273">
        <f>+V157</f>
        <v>1213.8925300000001</v>
      </c>
      <c r="W156" s="273">
        <f t="shared" si="2"/>
        <v>28.853091012464738</v>
      </c>
    </row>
    <row r="157" spans="1:23" ht="53.25" customHeight="1" x14ac:dyDescent="0.2">
      <c r="A157" s="78"/>
      <c r="B157" s="498" t="s">
        <v>17</v>
      </c>
      <c r="C157" s="498"/>
      <c r="D157" s="498"/>
      <c r="E157" s="498"/>
      <c r="F157" s="498"/>
      <c r="G157" s="498"/>
      <c r="H157" s="498"/>
      <c r="I157" s="498"/>
      <c r="J157" s="498"/>
      <c r="K157" s="498"/>
      <c r="L157" s="499"/>
      <c r="M157" s="242">
        <v>1</v>
      </c>
      <c r="N157" s="242">
        <v>13</v>
      </c>
      <c r="O157" s="243" t="s">
        <v>394</v>
      </c>
      <c r="P157" s="244" t="s">
        <v>18</v>
      </c>
      <c r="Q157" s="500"/>
      <c r="R157" s="501"/>
      <c r="S157" s="245">
        <v>4207.1490000000003</v>
      </c>
      <c r="T157" s="246">
        <v>0</v>
      </c>
      <c r="U157" s="164">
        <v>4207.1490000000003</v>
      </c>
      <c r="V157" s="273">
        <f>+V158</f>
        <v>1213.8925300000001</v>
      </c>
      <c r="W157" s="273">
        <f t="shared" si="2"/>
        <v>28.853091012464738</v>
      </c>
    </row>
    <row r="158" spans="1:23" ht="21.75" customHeight="1" x14ac:dyDescent="0.2">
      <c r="A158" s="78"/>
      <c r="B158" s="498" t="s">
        <v>37</v>
      </c>
      <c r="C158" s="498"/>
      <c r="D158" s="498"/>
      <c r="E158" s="498"/>
      <c r="F158" s="498"/>
      <c r="G158" s="498"/>
      <c r="H158" s="498"/>
      <c r="I158" s="498"/>
      <c r="J158" s="498"/>
      <c r="K158" s="498"/>
      <c r="L158" s="499"/>
      <c r="M158" s="242">
        <v>1</v>
      </c>
      <c r="N158" s="242">
        <v>13</v>
      </c>
      <c r="O158" s="243" t="s">
        <v>394</v>
      </c>
      <c r="P158" s="244" t="s">
        <v>38</v>
      </c>
      <c r="Q158" s="500"/>
      <c r="R158" s="501"/>
      <c r="S158" s="245">
        <v>4207.1490000000003</v>
      </c>
      <c r="T158" s="246">
        <v>0</v>
      </c>
      <c r="U158" s="164">
        <v>4207.1490000000003</v>
      </c>
      <c r="V158" s="273">
        <f>+V159+V160</f>
        <v>1213.8925300000001</v>
      </c>
      <c r="W158" s="273">
        <f t="shared" si="2"/>
        <v>28.853091012464738</v>
      </c>
    </row>
    <row r="159" spans="1:23" ht="21.75" customHeight="1" x14ac:dyDescent="0.2">
      <c r="A159" s="78"/>
      <c r="B159" s="498" t="s">
        <v>333</v>
      </c>
      <c r="C159" s="498"/>
      <c r="D159" s="498"/>
      <c r="E159" s="498"/>
      <c r="F159" s="498"/>
      <c r="G159" s="498"/>
      <c r="H159" s="498"/>
      <c r="I159" s="498"/>
      <c r="J159" s="498"/>
      <c r="K159" s="498"/>
      <c r="L159" s="499"/>
      <c r="M159" s="242">
        <v>1</v>
      </c>
      <c r="N159" s="242">
        <v>13</v>
      </c>
      <c r="O159" s="243" t="s">
        <v>394</v>
      </c>
      <c r="P159" s="244" t="s">
        <v>39</v>
      </c>
      <c r="Q159" s="500"/>
      <c r="R159" s="501"/>
      <c r="S159" s="245">
        <v>3231.297</v>
      </c>
      <c r="T159" s="246">
        <v>0</v>
      </c>
      <c r="U159" s="164">
        <v>3231.297</v>
      </c>
      <c r="V159" s="273">
        <f>+'11'!AG452</f>
        <v>932.32912999999996</v>
      </c>
      <c r="W159" s="273">
        <f t="shared" si="2"/>
        <v>28.85309304591933</v>
      </c>
    </row>
    <row r="160" spans="1:23" ht="32.25" customHeight="1" x14ac:dyDescent="0.2">
      <c r="A160" s="78"/>
      <c r="B160" s="498" t="s">
        <v>334</v>
      </c>
      <c r="C160" s="498"/>
      <c r="D160" s="498"/>
      <c r="E160" s="498"/>
      <c r="F160" s="498"/>
      <c r="G160" s="498"/>
      <c r="H160" s="498"/>
      <c r="I160" s="498"/>
      <c r="J160" s="498"/>
      <c r="K160" s="498"/>
      <c r="L160" s="499"/>
      <c r="M160" s="242">
        <v>1</v>
      </c>
      <c r="N160" s="242">
        <v>13</v>
      </c>
      <c r="O160" s="243" t="s">
        <v>394</v>
      </c>
      <c r="P160" s="244" t="s">
        <v>41</v>
      </c>
      <c r="Q160" s="500"/>
      <c r="R160" s="501"/>
      <c r="S160" s="245">
        <v>975.85199999999998</v>
      </c>
      <c r="T160" s="246">
        <v>0</v>
      </c>
      <c r="U160" s="164">
        <v>975.85199999999998</v>
      </c>
      <c r="V160" s="273">
        <f>+'11'!AG453</f>
        <v>281.5634</v>
      </c>
      <c r="W160" s="273">
        <f t="shared" si="2"/>
        <v>28.85308427917348</v>
      </c>
    </row>
    <row r="161" spans="1:23" ht="21.75" customHeight="1" x14ac:dyDescent="0.2">
      <c r="A161" s="78"/>
      <c r="B161" s="498" t="s">
        <v>59</v>
      </c>
      <c r="C161" s="498"/>
      <c r="D161" s="498"/>
      <c r="E161" s="498"/>
      <c r="F161" s="498"/>
      <c r="G161" s="498"/>
      <c r="H161" s="498"/>
      <c r="I161" s="498"/>
      <c r="J161" s="498"/>
      <c r="K161" s="498"/>
      <c r="L161" s="499"/>
      <c r="M161" s="242">
        <v>1</v>
      </c>
      <c r="N161" s="242">
        <v>13</v>
      </c>
      <c r="O161" s="243" t="s">
        <v>361</v>
      </c>
      <c r="P161" s="244">
        <v>0</v>
      </c>
      <c r="Q161" s="500"/>
      <c r="R161" s="501"/>
      <c r="S161" s="245">
        <v>380.22199999999998</v>
      </c>
      <c r="T161" s="246">
        <v>0</v>
      </c>
      <c r="U161" s="164">
        <v>380.22199999999998</v>
      </c>
      <c r="V161" s="273">
        <f>+V162+V167</f>
        <v>91.034320000000008</v>
      </c>
      <c r="W161" s="273">
        <f t="shared" si="2"/>
        <v>23.942412590539213</v>
      </c>
    </row>
    <row r="162" spans="1:23" ht="21.75" customHeight="1" x14ac:dyDescent="0.2">
      <c r="A162" s="78"/>
      <c r="B162" s="498" t="s">
        <v>395</v>
      </c>
      <c r="C162" s="498"/>
      <c r="D162" s="498"/>
      <c r="E162" s="498"/>
      <c r="F162" s="498"/>
      <c r="G162" s="498"/>
      <c r="H162" s="498"/>
      <c r="I162" s="498"/>
      <c r="J162" s="498"/>
      <c r="K162" s="498"/>
      <c r="L162" s="499"/>
      <c r="M162" s="242">
        <v>1</v>
      </c>
      <c r="N162" s="242">
        <v>13</v>
      </c>
      <c r="O162" s="243" t="s">
        <v>396</v>
      </c>
      <c r="P162" s="244">
        <v>0</v>
      </c>
      <c r="Q162" s="500"/>
      <c r="R162" s="501"/>
      <c r="S162" s="245">
        <v>377.22199999999998</v>
      </c>
      <c r="T162" s="246">
        <v>0</v>
      </c>
      <c r="U162" s="164">
        <v>377.22199999999998</v>
      </c>
      <c r="V162" s="273">
        <f>+V163</f>
        <v>90.486320000000006</v>
      </c>
      <c r="W162" s="273">
        <f t="shared" si="2"/>
        <v>23.987551097231872</v>
      </c>
    </row>
    <row r="163" spans="1:23" ht="53.25" customHeight="1" x14ac:dyDescent="0.2">
      <c r="A163" s="78"/>
      <c r="B163" s="498" t="s">
        <v>17</v>
      </c>
      <c r="C163" s="498"/>
      <c r="D163" s="498"/>
      <c r="E163" s="498"/>
      <c r="F163" s="498"/>
      <c r="G163" s="498"/>
      <c r="H163" s="498"/>
      <c r="I163" s="498"/>
      <c r="J163" s="498"/>
      <c r="K163" s="498"/>
      <c r="L163" s="499"/>
      <c r="M163" s="242">
        <v>1</v>
      </c>
      <c r="N163" s="242">
        <v>13</v>
      </c>
      <c r="O163" s="243" t="s">
        <v>396</v>
      </c>
      <c r="P163" s="244" t="s">
        <v>18</v>
      </c>
      <c r="Q163" s="500"/>
      <c r="R163" s="501"/>
      <c r="S163" s="245">
        <v>377.22199999999998</v>
      </c>
      <c r="T163" s="246">
        <v>0</v>
      </c>
      <c r="U163" s="164">
        <v>377.22199999999998</v>
      </c>
      <c r="V163" s="273">
        <f>+V164</f>
        <v>90.486320000000006</v>
      </c>
      <c r="W163" s="273">
        <f t="shared" si="2"/>
        <v>23.987551097231872</v>
      </c>
    </row>
    <row r="164" spans="1:23" ht="21.75" customHeight="1" x14ac:dyDescent="0.2">
      <c r="A164" s="78"/>
      <c r="B164" s="498" t="s">
        <v>37</v>
      </c>
      <c r="C164" s="498"/>
      <c r="D164" s="498"/>
      <c r="E164" s="498"/>
      <c r="F164" s="498"/>
      <c r="G164" s="498"/>
      <c r="H164" s="498"/>
      <c r="I164" s="498"/>
      <c r="J164" s="498"/>
      <c r="K164" s="498"/>
      <c r="L164" s="499"/>
      <c r="M164" s="242">
        <v>1</v>
      </c>
      <c r="N164" s="242">
        <v>13</v>
      </c>
      <c r="O164" s="243" t="s">
        <v>396</v>
      </c>
      <c r="P164" s="244" t="s">
        <v>38</v>
      </c>
      <c r="Q164" s="500"/>
      <c r="R164" s="501"/>
      <c r="S164" s="245">
        <v>377.22199999999998</v>
      </c>
      <c r="T164" s="246">
        <v>0</v>
      </c>
      <c r="U164" s="164">
        <v>377.22199999999998</v>
      </c>
      <c r="V164" s="273">
        <f>+V165+V166</f>
        <v>90.486320000000006</v>
      </c>
      <c r="W164" s="273">
        <f t="shared" si="2"/>
        <v>23.987551097231872</v>
      </c>
    </row>
    <row r="165" spans="1:23" ht="21.75" customHeight="1" x14ac:dyDescent="0.2">
      <c r="A165" s="78"/>
      <c r="B165" s="498" t="s">
        <v>333</v>
      </c>
      <c r="C165" s="498"/>
      <c r="D165" s="498"/>
      <c r="E165" s="498"/>
      <c r="F165" s="498"/>
      <c r="G165" s="498"/>
      <c r="H165" s="498"/>
      <c r="I165" s="498"/>
      <c r="J165" s="498"/>
      <c r="K165" s="498"/>
      <c r="L165" s="499"/>
      <c r="M165" s="242">
        <v>1</v>
      </c>
      <c r="N165" s="242">
        <v>13</v>
      </c>
      <c r="O165" s="243" t="s">
        <v>396</v>
      </c>
      <c r="P165" s="244" t="s">
        <v>39</v>
      </c>
      <c r="Q165" s="500"/>
      <c r="R165" s="501"/>
      <c r="S165" s="245">
        <v>289.72500000000002</v>
      </c>
      <c r="T165" s="246">
        <v>0</v>
      </c>
      <c r="U165" s="164">
        <v>289.72500000000002</v>
      </c>
      <c r="V165" s="273">
        <f>+'11'!AG620</f>
        <v>69.49794</v>
      </c>
      <c r="W165" s="273">
        <f t="shared" si="2"/>
        <v>23.987553714729483</v>
      </c>
    </row>
    <row r="166" spans="1:23" ht="32.25" customHeight="1" x14ac:dyDescent="0.2">
      <c r="A166" s="78"/>
      <c r="B166" s="498" t="s">
        <v>334</v>
      </c>
      <c r="C166" s="498"/>
      <c r="D166" s="498"/>
      <c r="E166" s="498"/>
      <c r="F166" s="498"/>
      <c r="G166" s="498"/>
      <c r="H166" s="498"/>
      <c r="I166" s="498"/>
      <c r="J166" s="498"/>
      <c r="K166" s="498"/>
      <c r="L166" s="499"/>
      <c r="M166" s="242">
        <v>1</v>
      </c>
      <c r="N166" s="242">
        <v>13</v>
      </c>
      <c r="O166" s="243" t="s">
        <v>396</v>
      </c>
      <c r="P166" s="244" t="s">
        <v>41</v>
      </c>
      <c r="Q166" s="500"/>
      <c r="R166" s="501"/>
      <c r="S166" s="245">
        <v>87.497</v>
      </c>
      <c r="T166" s="246">
        <v>0</v>
      </c>
      <c r="U166" s="164">
        <v>87.497</v>
      </c>
      <c r="V166" s="273">
        <f>+'11'!AG621</f>
        <v>20.988379999999999</v>
      </c>
      <c r="W166" s="273">
        <f t="shared" si="2"/>
        <v>23.987542430026171</v>
      </c>
    </row>
    <row r="167" spans="1:23" ht="42.75" customHeight="1" x14ac:dyDescent="0.2">
      <c r="A167" s="78"/>
      <c r="B167" s="498" t="s">
        <v>365</v>
      </c>
      <c r="C167" s="498"/>
      <c r="D167" s="498"/>
      <c r="E167" s="498"/>
      <c r="F167" s="498"/>
      <c r="G167" s="498"/>
      <c r="H167" s="498"/>
      <c r="I167" s="498"/>
      <c r="J167" s="498"/>
      <c r="K167" s="498"/>
      <c r="L167" s="499"/>
      <c r="M167" s="242">
        <v>1</v>
      </c>
      <c r="N167" s="242">
        <v>13</v>
      </c>
      <c r="O167" s="243" t="s">
        <v>366</v>
      </c>
      <c r="P167" s="244">
        <v>0</v>
      </c>
      <c r="Q167" s="500"/>
      <c r="R167" s="501"/>
      <c r="S167" s="245">
        <v>3</v>
      </c>
      <c r="T167" s="246">
        <v>0</v>
      </c>
      <c r="U167" s="164">
        <v>3</v>
      </c>
      <c r="V167" s="273">
        <f>+V168</f>
        <v>0.54800000000000004</v>
      </c>
      <c r="W167" s="273">
        <f t="shared" si="2"/>
        <v>18.266666666666666</v>
      </c>
    </row>
    <row r="168" spans="1:23" ht="53.25" customHeight="1" x14ac:dyDescent="0.2">
      <c r="A168" s="78"/>
      <c r="B168" s="498" t="s">
        <v>17</v>
      </c>
      <c r="C168" s="498"/>
      <c r="D168" s="498"/>
      <c r="E168" s="498"/>
      <c r="F168" s="498"/>
      <c r="G168" s="498"/>
      <c r="H168" s="498"/>
      <c r="I168" s="498"/>
      <c r="J168" s="498"/>
      <c r="K168" s="498"/>
      <c r="L168" s="499"/>
      <c r="M168" s="242">
        <v>1</v>
      </c>
      <c r="N168" s="242">
        <v>13</v>
      </c>
      <c r="O168" s="243" t="s">
        <v>366</v>
      </c>
      <c r="P168" s="244" t="s">
        <v>18</v>
      </c>
      <c r="Q168" s="500"/>
      <c r="R168" s="501"/>
      <c r="S168" s="245">
        <v>3</v>
      </c>
      <c r="T168" s="246">
        <v>0</v>
      </c>
      <c r="U168" s="164">
        <v>3</v>
      </c>
      <c r="V168" s="273">
        <f>+V169</f>
        <v>0.54800000000000004</v>
      </c>
      <c r="W168" s="273">
        <f t="shared" si="2"/>
        <v>18.266666666666666</v>
      </c>
    </row>
    <row r="169" spans="1:23" ht="21.75" customHeight="1" x14ac:dyDescent="0.2">
      <c r="A169" s="78"/>
      <c r="B169" s="498" t="s">
        <v>37</v>
      </c>
      <c r="C169" s="498"/>
      <c r="D169" s="498"/>
      <c r="E169" s="498"/>
      <c r="F169" s="498"/>
      <c r="G169" s="498"/>
      <c r="H169" s="498"/>
      <c r="I169" s="498"/>
      <c r="J169" s="498"/>
      <c r="K169" s="498"/>
      <c r="L169" s="499"/>
      <c r="M169" s="242">
        <v>1</v>
      </c>
      <c r="N169" s="242">
        <v>13</v>
      </c>
      <c r="O169" s="243" t="s">
        <v>366</v>
      </c>
      <c r="P169" s="244" t="s">
        <v>38</v>
      </c>
      <c r="Q169" s="500"/>
      <c r="R169" s="501"/>
      <c r="S169" s="245">
        <v>3</v>
      </c>
      <c r="T169" s="246">
        <v>0</v>
      </c>
      <c r="U169" s="164">
        <v>3</v>
      </c>
      <c r="V169" s="273">
        <f>+V170</f>
        <v>0.54800000000000004</v>
      </c>
      <c r="W169" s="273">
        <f t="shared" si="2"/>
        <v>18.266666666666666</v>
      </c>
    </row>
    <row r="170" spans="1:23" ht="32.25" customHeight="1" x14ac:dyDescent="0.2">
      <c r="A170" s="78"/>
      <c r="B170" s="498" t="s">
        <v>351</v>
      </c>
      <c r="C170" s="498"/>
      <c r="D170" s="498"/>
      <c r="E170" s="498"/>
      <c r="F170" s="498"/>
      <c r="G170" s="498"/>
      <c r="H170" s="498"/>
      <c r="I170" s="498"/>
      <c r="J170" s="498"/>
      <c r="K170" s="498"/>
      <c r="L170" s="499"/>
      <c r="M170" s="242">
        <v>1</v>
      </c>
      <c r="N170" s="242">
        <v>13</v>
      </c>
      <c r="O170" s="243" t="s">
        <v>366</v>
      </c>
      <c r="P170" s="244" t="s">
        <v>40</v>
      </c>
      <c r="Q170" s="500"/>
      <c r="R170" s="501"/>
      <c r="S170" s="245">
        <v>3</v>
      </c>
      <c r="T170" s="246">
        <v>0</v>
      </c>
      <c r="U170" s="164">
        <v>3</v>
      </c>
      <c r="V170" s="273">
        <f>+'11'!AG625</f>
        <v>0.54800000000000004</v>
      </c>
      <c r="W170" s="273">
        <f t="shared" si="2"/>
        <v>18.266666666666666</v>
      </c>
    </row>
    <row r="171" spans="1:23" ht="32.25" customHeight="1" x14ac:dyDescent="0.2">
      <c r="A171" s="78"/>
      <c r="B171" s="498" t="s">
        <v>357</v>
      </c>
      <c r="C171" s="498"/>
      <c r="D171" s="498"/>
      <c r="E171" s="498"/>
      <c r="F171" s="498"/>
      <c r="G171" s="498"/>
      <c r="H171" s="498"/>
      <c r="I171" s="498"/>
      <c r="J171" s="498"/>
      <c r="K171" s="498"/>
      <c r="L171" s="499"/>
      <c r="M171" s="242">
        <v>1</v>
      </c>
      <c r="N171" s="242">
        <v>13</v>
      </c>
      <c r="O171" s="243" t="s">
        <v>358</v>
      </c>
      <c r="P171" s="244">
        <v>0</v>
      </c>
      <c r="Q171" s="500"/>
      <c r="R171" s="501"/>
      <c r="S171" s="245">
        <v>557.1</v>
      </c>
      <c r="T171" s="246">
        <v>0</v>
      </c>
      <c r="U171" s="164">
        <v>557.1</v>
      </c>
      <c r="V171" s="273">
        <f>+V172+V178</f>
        <v>103.52485999999999</v>
      </c>
      <c r="W171" s="273">
        <f t="shared" si="2"/>
        <v>18.582814575480164</v>
      </c>
    </row>
    <row r="172" spans="1:23" ht="32.25" customHeight="1" x14ac:dyDescent="0.2">
      <c r="A172" s="78"/>
      <c r="B172" s="498" t="s">
        <v>397</v>
      </c>
      <c r="C172" s="498"/>
      <c r="D172" s="498"/>
      <c r="E172" s="498"/>
      <c r="F172" s="498"/>
      <c r="G172" s="498"/>
      <c r="H172" s="498"/>
      <c r="I172" s="498"/>
      <c r="J172" s="498"/>
      <c r="K172" s="498"/>
      <c r="L172" s="499"/>
      <c r="M172" s="242">
        <v>1</v>
      </c>
      <c r="N172" s="242">
        <v>13</v>
      </c>
      <c r="O172" s="243" t="s">
        <v>398</v>
      </c>
      <c r="P172" s="244">
        <v>0</v>
      </c>
      <c r="Q172" s="500"/>
      <c r="R172" s="501"/>
      <c r="S172" s="245">
        <v>6</v>
      </c>
      <c r="T172" s="246">
        <v>0</v>
      </c>
      <c r="U172" s="164">
        <v>6</v>
      </c>
      <c r="V172" s="273">
        <f>+V173+V176</f>
        <v>0</v>
      </c>
      <c r="W172" s="273">
        <f t="shared" si="2"/>
        <v>0</v>
      </c>
    </row>
    <row r="173" spans="1:23" ht="21.75" customHeight="1" x14ac:dyDescent="0.2">
      <c r="A173" s="78"/>
      <c r="B173" s="498" t="s">
        <v>345</v>
      </c>
      <c r="C173" s="498"/>
      <c r="D173" s="498"/>
      <c r="E173" s="498"/>
      <c r="F173" s="498"/>
      <c r="G173" s="498"/>
      <c r="H173" s="498"/>
      <c r="I173" s="498"/>
      <c r="J173" s="498"/>
      <c r="K173" s="498"/>
      <c r="L173" s="499"/>
      <c r="M173" s="242">
        <v>1</v>
      </c>
      <c r="N173" s="242">
        <v>13</v>
      </c>
      <c r="O173" s="243" t="s">
        <v>398</v>
      </c>
      <c r="P173" s="244" t="s">
        <v>24</v>
      </c>
      <c r="Q173" s="500"/>
      <c r="R173" s="501"/>
      <c r="S173" s="245">
        <v>1</v>
      </c>
      <c r="T173" s="246">
        <v>0</v>
      </c>
      <c r="U173" s="164">
        <v>1</v>
      </c>
      <c r="V173" s="273">
        <f>+V174</f>
        <v>0</v>
      </c>
      <c r="W173" s="273">
        <f t="shared" si="2"/>
        <v>0</v>
      </c>
    </row>
    <row r="174" spans="1:23" ht="21.75" customHeight="1" x14ac:dyDescent="0.2">
      <c r="A174" s="78"/>
      <c r="B174" s="498" t="s">
        <v>346</v>
      </c>
      <c r="C174" s="498"/>
      <c r="D174" s="498"/>
      <c r="E174" s="498"/>
      <c r="F174" s="498"/>
      <c r="G174" s="498"/>
      <c r="H174" s="498"/>
      <c r="I174" s="498"/>
      <c r="J174" s="498"/>
      <c r="K174" s="498"/>
      <c r="L174" s="499"/>
      <c r="M174" s="242">
        <v>1</v>
      </c>
      <c r="N174" s="242">
        <v>13</v>
      </c>
      <c r="O174" s="243" t="s">
        <v>398</v>
      </c>
      <c r="P174" s="244" t="s">
        <v>26</v>
      </c>
      <c r="Q174" s="500"/>
      <c r="R174" s="501"/>
      <c r="S174" s="245">
        <v>1</v>
      </c>
      <c r="T174" s="246">
        <v>0</v>
      </c>
      <c r="U174" s="164">
        <v>1</v>
      </c>
      <c r="V174" s="273">
        <f>+V175</f>
        <v>0</v>
      </c>
      <c r="W174" s="273">
        <f t="shared" si="2"/>
        <v>0</v>
      </c>
    </row>
    <row r="175" spans="1:23" ht="12.75" customHeight="1" x14ac:dyDescent="0.2">
      <c r="A175" s="78"/>
      <c r="B175" s="498" t="s">
        <v>348</v>
      </c>
      <c r="C175" s="498"/>
      <c r="D175" s="498"/>
      <c r="E175" s="498"/>
      <c r="F175" s="498"/>
      <c r="G175" s="498"/>
      <c r="H175" s="498"/>
      <c r="I175" s="498"/>
      <c r="J175" s="498"/>
      <c r="K175" s="498"/>
      <c r="L175" s="499"/>
      <c r="M175" s="242">
        <v>1</v>
      </c>
      <c r="N175" s="242">
        <v>13</v>
      </c>
      <c r="O175" s="243" t="s">
        <v>398</v>
      </c>
      <c r="P175" s="244" t="s">
        <v>28</v>
      </c>
      <c r="Q175" s="500"/>
      <c r="R175" s="501"/>
      <c r="S175" s="245">
        <v>1</v>
      </c>
      <c r="T175" s="246">
        <v>0</v>
      </c>
      <c r="U175" s="164">
        <v>1</v>
      </c>
      <c r="V175" s="273"/>
      <c r="W175" s="273">
        <f t="shared" si="2"/>
        <v>0</v>
      </c>
    </row>
    <row r="176" spans="1:23" ht="12.75" customHeight="1" x14ac:dyDescent="0.2">
      <c r="A176" s="78"/>
      <c r="B176" s="498" t="s">
        <v>61</v>
      </c>
      <c r="C176" s="498"/>
      <c r="D176" s="498"/>
      <c r="E176" s="498"/>
      <c r="F176" s="498"/>
      <c r="G176" s="498"/>
      <c r="H176" s="498"/>
      <c r="I176" s="498"/>
      <c r="J176" s="498"/>
      <c r="K176" s="498"/>
      <c r="L176" s="499"/>
      <c r="M176" s="242">
        <v>1</v>
      </c>
      <c r="N176" s="242">
        <v>13</v>
      </c>
      <c r="O176" s="243" t="s">
        <v>398</v>
      </c>
      <c r="P176" s="244" t="s">
        <v>103</v>
      </c>
      <c r="Q176" s="500"/>
      <c r="R176" s="501"/>
      <c r="S176" s="245">
        <v>5</v>
      </c>
      <c r="T176" s="246">
        <v>0</v>
      </c>
      <c r="U176" s="164">
        <v>5</v>
      </c>
      <c r="V176" s="273">
        <f>+V177</f>
        <v>0</v>
      </c>
      <c r="W176" s="273">
        <f t="shared" si="2"/>
        <v>0</v>
      </c>
    </row>
    <row r="177" spans="1:23" ht="12.75" customHeight="1" x14ac:dyDescent="0.2">
      <c r="A177" s="78"/>
      <c r="B177" s="498" t="s">
        <v>104</v>
      </c>
      <c r="C177" s="498"/>
      <c r="D177" s="498"/>
      <c r="E177" s="498"/>
      <c r="F177" s="498"/>
      <c r="G177" s="498"/>
      <c r="H177" s="498"/>
      <c r="I177" s="498"/>
      <c r="J177" s="498"/>
      <c r="K177" s="498"/>
      <c r="L177" s="499"/>
      <c r="M177" s="242">
        <v>1</v>
      </c>
      <c r="N177" s="242">
        <v>13</v>
      </c>
      <c r="O177" s="243" t="s">
        <v>398</v>
      </c>
      <c r="P177" s="244" t="s">
        <v>105</v>
      </c>
      <c r="Q177" s="500"/>
      <c r="R177" s="501"/>
      <c r="S177" s="245">
        <v>5</v>
      </c>
      <c r="T177" s="246">
        <v>0</v>
      </c>
      <c r="U177" s="164">
        <v>5</v>
      </c>
      <c r="V177" s="273"/>
      <c r="W177" s="273">
        <f t="shared" si="2"/>
        <v>0</v>
      </c>
    </row>
    <row r="178" spans="1:23" ht="32.25" customHeight="1" x14ac:dyDescent="0.2">
      <c r="A178" s="78"/>
      <c r="B178" s="498" t="s">
        <v>399</v>
      </c>
      <c r="C178" s="498"/>
      <c r="D178" s="498"/>
      <c r="E178" s="498"/>
      <c r="F178" s="498"/>
      <c r="G178" s="498"/>
      <c r="H178" s="498"/>
      <c r="I178" s="498"/>
      <c r="J178" s="498"/>
      <c r="K178" s="498"/>
      <c r="L178" s="499"/>
      <c r="M178" s="242">
        <v>1</v>
      </c>
      <c r="N178" s="242">
        <v>13</v>
      </c>
      <c r="O178" s="243" t="s">
        <v>400</v>
      </c>
      <c r="P178" s="244">
        <v>0</v>
      </c>
      <c r="Q178" s="500"/>
      <c r="R178" s="501"/>
      <c r="S178" s="245">
        <v>551.1</v>
      </c>
      <c r="T178" s="246">
        <v>0</v>
      </c>
      <c r="U178" s="164">
        <v>551.1</v>
      </c>
      <c r="V178" s="273">
        <f>+V179+V183</f>
        <v>103.52485999999999</v>
      </c>
      <c r="W178" s="273">
        <f t="shared" si="2"/>
        <v>18.785131555071672</v>
      </c>
    </row>
    <row r="179" spans="1:23" ht="53.25" customHeight="1" x14ac:dyDescent="0.2">
      <c r="A179" s="78"/>
      <c r="B179" s="498" t="s">
        <v>17</v>
      </c>
      <c r="C179" s="498"/>
      <c r="D179" s="498"/>
      <c r="E179" s="498"/>
      <c r="F179" s="498"/>
      <c r="G179" s="498"/>
      <c r="H179" s="498"/>
      <c r="I179" s="498"/>
      <c r="J179" s="498"/>
      <c r="K179" s="498"/>
      <c r="L179" s="499"/>
      <c r="M179" s="242">
        <v>1</v>
      </c>
      <c r="N179" s="242">
        <v>13</v>
      </c>
      <c r="O179" s="243" t="s">
        <v>400</v>
      </c>
      <c r="P179" s="244" t="s">
        <v>18</v>
      </c>
      <c r="Q179" s="500"/>
      <c r="R179" s="501"/>
      <c r="S179" s="245">
        <v>446.86700000000002</v>
      </c>
      <c r="T179" s="246">
        <v>0</v>
      </c>
      <c r="U179" s="164">
        <v>446.86700000000002</v>
      </c>
      <c r="V179" s="273">
        <f>+V180</f>
        <v>101.02485999999999</v>
      </c>
      <c r="W179" s="273">
        <f t="shared" si="2"/>
        <v>22.607366397608235</v>
      </c>
    </row>
    <row r="180" spans="1:23" ht="21.75" customHeight="1" x14ac:dyDescent="0.2">
      <c r="A180" s="78"/>
      <c r="B180" s="498" t="s">
        <v>37</v>
      </c>
      <c r="C180" s="498"/>
      <c r="D180" s="498"/>
      <c r="E180" s="498"/>
      <c r="F180" s="498"/>
      <c r="G180" s="498"/>
      <c r="H180" s="498"/>
      <c r="I180" s="498"/>
      <c r="J180" s="498"/>
      <c r="K180" s="498"/>
      <c r="L180" s="499"/>
      <c r="M180" s="242">
        <v>1</v>
      </c>
      <c r="N180" s="242">
        <v>13</v>
      </c>
      <c r="O180" s="243" t="s">
        <v>400</v>
      </c>
      <c r="P180" s="244" t="s">
        <v>38</v>
      </c>
      <c r="Q180" s="500"/>
      <c r="R180" s="501"/>
      <c r="S180" s="245">
        <v>446.86700000000002</v>
      </c>
      <c r="T180" s="246">
        <v>0</v>
      </c>
      <c r="U180" s="164">
        <v>446.86700000000002</v>
      </c>
      <c r="V180" s="273">
        <f>+V181+V182</f>
        <v>101.02485999999999</v>
      </c>
      <c r="W180" s="273">
        <f t="shared" si="2"/>
        <v>22.607366397608235</v>
      </c>
    </row>
    <row r="181" spans="1:23" ht="21.75" customHeight="1" x14ac:dyDescent="0.2">
      <c r="A181" s="78"/>
      <c r="B181" s="498" t="s">
        <v>333</v>
      </c>
      <c r="C181" s="498"/>
      <c r="D181" s="498"/>
      <c r="E181" s="498"/>
      <c r="F181" s="498"/>
      <c r="G181" s="498"/>
      <c r="H181" s="498"/>
      <c r="I181" s="498"/>
      <c r="J181" s="498"/>
      <c r="K181" s="498"/>
      <c r="L181" s="499"/>
      <c r="M181" s="242">
        <v>1</v>
      </c>
      <c r="N181" s="242">
        <v>13</v>
      </c>
      <c r="O181" s="243" t="s">
        <v>400</v>
      </c>
      <c r="P181" s="244" t="s">
        <v>39</v>
      </c>
      <c r="Q181" s="500"/>
      <c r="R181" s="501"/>
      <c r="S181" s="245">
        <v>343.21600000000001</v>
      </c>
      <c r="T181" s="246">
        <v>0</v>
      </c>
      <c r="U181" s="164">
        <v>343.21600000000001</v>
      </c>
      <c r="V181" s="273">
        <f>+'11'!AG462</f>
        <v>78.009569999999997</v>
      </c>
      <c r="W181" s="273">
        <f t="shared" si="2"/>
        <v>22.729001561698752</v>
      </c>
    </row>
    <row r="182" spans="1:23" ht="32.25" customHeight="1" x14ac:dyDescent="0.2">
      <c r="A182" s="78"/>
      <c r="B182" s="498" t="s">
        <v>334</v>
      </c>
      <c r="C182" s="498"/>
      <c r="D182" s="498"/>
      <c r="E182" s="498"/>
      <c r="F182" s="498"/>
      <c r="G182" s="498"/>
      <c r="H182" s="498"/>
      <c r="I182" s="498"/>
      <c r="J182" s="498"/>
      <c r="K182" s="498"/>
      <c r="L182" s="499"/>
      <c r="M182" s="242">
        <v>1</v>
      </c>
      <c r="N182" s="242">
        <v>13</v>
      </c>
      <c r="O182" s="243" t="s">
        <v>400</v>
      </c>
      <c r="P182" s="244" t="s">
        <v>41</v>
      </c>
      <c r="Q182" s="500"/>
      <c r="R182" s="501"/>
      <c r="S182" s="245">
        <v>103.651</v>
      </c>
      <c r="T182" s="246">
        <v>0</v>
      </c>
      <c r="U182" s="164">
        <v>103.651</v>
      </c>
      <c r="V182" s="273">
        <f>+'11'!AG463</f>
        <v>23.01529</v>
      </c>
      <c r="W182" s="273">
        <f t="shared" si="2"/>
        <v>22.204600052097906</v>
      </c>
    </row>
    <row r="183" spans="1:23" ht="21.75" customHeight="1" x14ac:dyDescent="0.2">
      <c r="A183" s="78"/>
      <c r="B183" s="498" t="s">
        <v>345</v>
      </c>
      <c r="C183" s="498"/>
      <c r="D183" s="498"/>
      <c r="E183" s="498"/>
      <c r="F183" s="498"/>
      <c r="G183" s="498"/>
      <c r="H183" s="498"/>
      <c r="I183" s="498"/>
      <c r="J183" s="498"/>
      <c r="K183" s="498"/>
      <c r="L183" s="499"/>
      <c r="M183" s="242">
        <v>1</v>
      </c>
      <c r="N183" s="242">
        <v>13</v>
      </c>
      <c r="O183" s="243" t="s">
        <v>400</v>
      </c>
      <c r="P183" s="244" t="s">
        <v>24</v>
      </c>
      <c r="Q183" s="500"/>
      <c r="R183" s="501"/>
      <c r="S183" s="245">
        <v>104.233</v>
      </c>
      <c r="T183" s="246">
        <v>0</v>
      </c>
      <c r="U183" s="164">
        <v>104.233</v>
      </c>
      <c r="V183" s="273">
        <f>+V184</f>
        <v>2.5</v>
      </c>
      <c r="W183" s="273">
        <f t="shared" si="2"/>
        <v>2.3984726526148146</v>
      </c>
    </row>
    <row r="184" spans="1:23" ht="21.75" customHeight="1" x14ac:dyDescent="0.2">
      <c r="A184" s="78"/>
      <c r="B184" s="498" t="s">
        <v>346</v>
      </c>
      <c r="C184" s="498"/>
      <c r="D184" s="498"/>
      <c r="E184" s="498"/>
      <c r="F184" s="498"/>
      <c r="G184" s="498"/>
      <c r="H184" s="498"/>
      <c r="I184" s="498"/>
      <c r="J184" s="498"/>
      <c r="K184" s="498"/>
      <c r="L184" s="499"/>
      <c r="M184" s="242">
        <v>1</v>
      </c>
      <c r="N184" s="242">
        <v>13</v>
      </c>
      <c r="O184" s="243" t="s">
        <v>400</v>
      </c>
      <c r="P184" s="244" t="s">
        <v>26</v>
      </c>
      <c r="Q184" s="500"/>
      <c r="R184" s="501"/>
      <c r="S184" s="245">
        <v>104.233</v>
      </c>
      <c r="T184" s="246">
        <v>0</v>
      </c>
      <c r="U184" s="164">
        <v>104.233</v>
      </c>
      <c r="V184" s="273">
        <f>+V185+V186</f>
        <v>2.5</v>
      </c>
      <c r="W184" s="273">
        <f t="shared" si="2"/>
        <v>2.3984726526148146</v>
      </c>
    </row>
    <row r="185" spans="1:23" ht="21.75" customHeight="1" x14ac:dyDescent="0.2">
      <c r="A185" s="78"/>
      <c r="B185" s="498" t="s">
        <v>347</v>
      </c>
      <c r="C185" s="498"/>
      <c r="D185" s="498"/>
      <c r="E185" s="498"/>
      <c r="F185" s="498"/>
      <c r="G185" s="498"/>
      <c r="H185" s="498"/>
      <c r="I185" s="498"/>
      <c r="J185" s="498"/>
      <c r="K185" s="498"/>
      <c r="L185" s="499"/>
      <c r="M185" s="242">
        <v>1</v>
      </c>
      <c r="N185" s="242">
        <v>13</v>
      </c>
      <c r="O185" s="243" t="s">
        <v>400</v>
      </c>
      <c r="P185" s="244" t="s">
        <v>27</v>
      </c>
      <c r="Q185" s="500"/>
      <c r="R185" s="501"/>
      <c r="S185" s="245">
        <v>5</v>
      </c>
      <c r="T185" s="246">
        <v>0</v>
      </c>
      <c r="U185" s="164">
        <v>5</v>
      </c>
      <c r="V185" s="273">
        <f>+'11'!AG466</f>
        <v>0</v>
      </c>
      <c r="W185" s="273">
        <f t="shared" si="2"/>
        <v>0</v>
      </c>
    </row>
    <row r="186" spans="1:23" ht="12.75" customHeight="1" x14ac:dyDescent="0.2">
      <c r="A186" s="78"/>
      <c r="B186" s="498" t="s">
        <v>348</v>
      </c>
      <c r="C186" s="498"/>
      <c r="D186" s="498"/>
      <c r="E186" s="498"/>
      <c r="F186" s="498"/>
      <c r="G186" s="498"/>
      <c r="H186" s="498"/>
      <c r="I186" s="498"/>
      <c r="J186" s="498"/>
      <c r="K186" s="498"/>
      <c r="L186" s="499"/>
      <c r="M186" s="242">
        <v>1</v>
      </c>
      <c r="N186" s="242">
        <v>13</v>
      </c>
      <c r="O186" s="243" t="s">
        <v>400</v>
      </c>
      <c r="P186" s="244" t="s">
        <v>28</v>
      </c>
      <c r="Q186" s="500"/>
      <c r="R186" s="501"/>
      <c r="S186" s="245">
        <v>99.233000000000004</v>
      </c>
      <c r="T186" s="246">
        <v>0</v>
      </c>
      <c r="U186" s="164">
        <v>99.233000000000004</v>
      </c>
      <c r="V186" s="273">
        <f>+'11'!AG467</f>
        <v>2.5</v>
      </c>
      <c r="W186" s="273">
        <f t="shared" si="2"/>
        <v>2.5193232090131303</v>
      </c>
    </row>
    <row r="187" spans="1:23" ht="12.75" customHeight="1" x14ac:dyDescent="0.2">
      <c r="A187" s="78"/>
      <c r="B187" s="510" t="s">
        <v>401</v>
      </c>
      <c r="C187" s="510"/>
      <c r="D187" s="510"/>
      <c r="E187" s="510"/>
      <c r="F187" s="510"/>
      <c r="G187" s="510"/>
      <c r="H187" s="510"/>
      <c r="I187" s="510"/>
      <c r="J187" s="510"/>
      <c r="K187" s="510"/>
      <c r="L187" s="511"/>
      <c r="M187" s="232">
        <v>2</v>
      </c>
      <c r="N187" s="232">
        <v>0</v>
      </c>
      <c r="O187" s="233">
        <v>0</v>
      </c>
      <c r="P187" s="234">
        <v>0</v>
      </c>
      <c r="Q187" s="512"/>
      <c r="R187" s="513"/>
      <c r="S187" s="235">
        <v>1120.8</v>
      </c>
      <c r="T187" s="236">
        <v>0</v>
      </c>
      <c r="U187" s="165">
        <v>1120.8</v>
      </c>
      <c r="V187" s="273">
        <f>+V188</f>
        <v>269.44596000000001</v>
      </c>
      <c r="W187" s="273">
        <f t="shared" si="2"/>
        <v>24.040503211991439</v>
      </c>
    </row>
    <row r="188" spans="1:23" ht="12.75" customHeight="1" x14ac:dyDescent="0.25">
      <c r="A188" s="78"/>
      <c r="B188" s="502" t="s">
        <v>89</v>
      </c>
      <c r="C188" s="502"/>
      <c r="D188" s="502"/>
      <c r="E188" s="502"/>
      <c r="F188" s="502"/>
      <c r="G188" s="502"/>
      <c r="H188" s="502"/>
      <c r="I188" s="502"/>
      <c r="J188" s="502"/>
      <c r="K188" s="502"/>
      <c r="L188" s="503"/>
      <c r="M188" s="237">
        <v>2</v>
      </c>
      <c r="N188" s="237">
        <v>3</v>
      </c>
      <c r="O188" s="238">
        <v>0</v>
      </c>
      <c r="P188" s="239">
        <v>0</v>
      </c>
      <c r="Q188" s="504"/>
      <c r="R188" s="505"/>
      <c r="S188" s="240">
        <v>1120.8</v>
      </c>
      <c r="T188" s="241">
        <v>0</v>
      </c>
      <c r="U188" s="274">
        <v>1120.8</v>
      </c>
      <c r="V188" s="273">
        <f>+V189</f>
        <v>269.44596000000001</v>
      </c>
      <c r="W188" s="273">
        <f t="shared" si="2"/>
        <v>24.040503211991439</v>
      </c>
    </row>
    <row r="189" spans="1:23" ht="32.25" customHeight="1" x14ac:dyDescent="0.2">
      <c r="A189" s="78"/>
      <c r="B189" s="498" t="s">
        <v>357</v>
      </c>
      <c r="C189" s="498"/>
      <c r="D189" s="498"/>
      <c r="E189" s="498"/>
      <c r="F189" s="498"/>
      <c r="G189" s="498"/>
      <c r="H189" s="498"/>
      <c r="I189" s="498"/>
      <c r="J189" s="498"/>
      <c r="K189" s="498"/>
      <c r="L189" s="499"/>
      <c r="M189" s="242">
        <v>2</v>
      </c>
      <c r="N189" s="242">
        <v>3</v>
      </c>
      <c r="O189" s="243" t="s">
        <v>358</v>
      </c>
      <c r="P189" s="244">
        <v>0</v>
      </c>
      <c r="Q189" s="500"/>
      <c r="R189" s="501"/>
      <c r="S189" s="245">
        <v>1120.8</v>
      </c>
      <c r="T189" s="246">
        <v>0</v>
      </c>
      <c r="U189" s="164">
        <v>1120.8</v>
      </c>
      <c r="V189" s="273">
        <f>+V190</f>
        <v>269.44596000000001</v>
      </c>
      <c r="W189" s="273">
        <f t="shared" si="2"/>
        <v>24.040503211991439</v>
      </c>
    </row>
    <row r="190" spans="1:23" ht="32.25" customHeight="1" x14ac:dyDescent="0.2">
      <c r="A190" s="78"/>
      <c r="B190" s="498" t="s">
        <v>402</v>
      </c>
      <c r="C190" s="498"/>
      <c r="D190" s="498"/>
      <c r="E190" s="498"/>
      <c r="F190" s="498"/>
      <c r="G190" s="498"/>
      <c r="H190" s="498"/>
      <c r="I190" s="498"/>
      <c r="J190" s="498"/>
      <c r="K190" s="498"/>
      <c r="L190" s="499"/>
      <c r="M190" s="242">
        <v>2</v>
      </c>
      <c r="N190" s="242">
        <v>3</v>
      </c>
      <c r="O190" s="243" t="s">
        <v>403</v>
      </c>
      <c r="P190" s="244">
        <v>0</v>
      </c>
      <c r="Q190" s="500"/>
      <c r="R190" s="501"/>
      <c r="S190" s="245">
        <v>1120.8</v>
      </c>
      <c r="T190" s="246">
        <v>0</v>
      </c>
      <c r="U190" s="164">
        <v>1120.8</v>
      </c>
      <c r="V190" s="273">
        <f>+V191+V195+V198</f>
        <v>269.44596000000001</v>
      </c>
      <c r="W190" s="273">
        <f t="shared" si="2"/>
        <v>24.040503211991439</v>
      </c>
    </row>
    <row r="191" spans="1:23" ht="53.25" customHeight="1" x14ac:dyDescent="0.2">
      <c r="A191" s="78"/>
      <c r="B191" s="498" t="s">
        <v>17</v>
      </c>
      <c r="C191" s="498"/>
      <c r="D191" s="498"/>
      <c r="E191" s="498"/>
      <c r="F191" s="498"/>
      <c r="G191" s="498"/>
      <c r="H191" s="498"/>
      <c r="I191" s="498"/>
      <c r="J191" s="498"/>
      <c r="K191" s="498"/>
      <c r="L191" s="499"/>
      <c r="M191" s="242">
        <v>2</v>
      </c>
      <c r="N191" s="242">
        <v>3</v>
      </c>
      <c r="O191" s="243" t="s">
        <v>403</v>
      </c>
      <c r="P191" s="244" t="s">
        <v>18</v>
      </c>
      <c r="Q191" s="500"/>
      <c r="R191" s="501"/>
      <c r="S191" s="245">
        <v>368</v>
      </c>
      <c r="T191" s="246">
        <v>0</v>
      </c>
      <c r="U191" s="164">
        <v>368</v>
      </c>
      <c r="V191" s="273">
        <f>+V192</f>
        <v>92.769959999999998</v>
      </c>
      <c r="W191" s="273">
        <f t="shared" si="2"/>
        <v>25.209228260869565</v>
      </c>
    </row>
    <row r="192" spans="1:23" ht="21.75" customHeight="1" x14ac:dyDescent="0.2">
      <c r="A192" s="78"/>
      <c r="B192" s="498" t="s">
        <v>37</v>
      </c>
      <c r="C192" s="498"/>
      <c r="D192" s="498"/>
      <c r="E192" s="498"/>
      <c r="F192" s="498"/>
      <c r="G192" s="498"/>
      <c r="H192" s="498"/>
      <c r="I192" s="498"/>
      <c r="J192" s="498"/>
      <c r="K192" s="498"/>
      <c r="L192" s="499"/>
      <c r="M192" s="242">
        <v>2</v>
      </c>
      <c r="N192" s="242">
        <v>3</v>
      </c>
      <c r="O192" s="243" t="s">
        <v>403</v>
      </c>
      <c r="P192" s="244" t="s">
        <v>38</v>
      </c>
      <c r="Q192" s="500"/>
      <c r="R192" s="501"/>
      <c r="S192" s="245">
        <v>368</v>
      </c>
      <c r="T192" s="246">
        <v>0</v>
      </c>
      <c r="U192" s="164">
        <v>368</v>
      </c>
      <c r="V192" s="273">
        <f>+V193+V194</f>
        <v>92.769959999999998</v>
      </c>
      <c r="W192" s="273">
        <f t="shared" si="2"/>
        <v>25.209228260869565</v>
      </c>
    </row>
    <row r="193" spans="1:23" ht="21.75" customHeight="1" x14ac:dyDescent="0.2">
      <c r="A193" s="78"/>
      <c r="B193" s="498" t="s">
        <v>333</v>
      </c>
      <c r="C193" s="498"/>
      <c r="D193" s="498"/>
      <c r="E193" s="498"/>
      <c r="F193" s="498"/>
      <c r="G193" s="498"/>
      <c r="H193" s="498"/>
      <c r="I193" s="498"/>
      <c r="J193" s="498"/>
      <c r="K193" s="498"/>
      <c r="L193" s="499"/>
      <c r="M193" s="242">
        <v>2</v>
      </c>
      <c r="N193" s="242">
        <v>3</v>
      </c>
      <c r="O193" s="243" t="s">
        <v>403</v>
      </c>
      <c r="P193" s="244" t="s">
        <v>39</v>
      </c>
      <c r="Q193" s="500"/>
      <c r="R193" s="501"/>
      <c r="S193" s="245">
        <v>282.64</v>
      </c>
      <c r="T193" s="246">
        <v>0</v>
      </c>
      <c r="U193" s="164">
        <v>282.64</v>
      </c>
      <c r="V193" s="273">
        <f>+'11'!AG474</f>
        <v>71.251890000000003</v>
      </c>
      <c r="W193" s="273">
        <f t="shared" si="2"/>
        <v>25.20941480328333</v>
      </c>
    </row>
    <row r="194" spans="1:23" ht="32.25" customHeight="1" x14ac:dyDescent="0.2">
      <c r="A194" s="78"/>
      <c r="B194" s="498" t="s">
        <v>334</v>
      </c>
      <c r="C194" s="498"/>
      <c r="D194" s="498"/>
      <c r="E194" s="498"/>
      <c r="F194" s="498"/>
      <c r="G194" s="498"/>
      <c r="H194" s="498"/>
      <c r="I194" s="498"/>
      <c r="J194" s="498"/>
      <c r="K194" s="498"/>
      <c r="L194" s="499"/>
      <c r="M194" s="242">
        <v>2</v>
      </c>
      <c r="N194" s="242">
        <v>3</v>
      </c>
      <c r="O194" s="243" t="s">
        <v>403</v>
      </c>
      <c r="P194" s="244" t="s">
        <v>41</v>
      </c>
      <c r="Q194" s="500"/>
      <c r="R194" s="501"/>
      <c r="S194" s="245">
        <v>85.36</v>
      </c>
      <c r="T194" s="246">
        <v>0</v>
      </c>
      <c r="U194" s="164">
        <v>85.36</v>
      </c>
      <c r="V194" s="273">
        <f>+'11'!AG475</f>
        <v>21.518070000000002</v>
      </c>
      <c r="W194" s="273">
        <f t="shared" si="2"/>
        <v>25.20861059044049</v>
      </c>
    </row>
    <row r="195" spans="1:23" ht="21.75" customHeight="1" x14ac:dyDescent="0.2">
      <c r="A195" s="78"/>
      <c r="B195" s="498" t="s">
        <v>345</v>
      </c>
      <c r="C195" s="498"/>
      <c r="D195" s="498"/>
      <c r="E195" s="498"/>
      <c r="F195" s="498"/>
      <c r="G195" s="498"/>
      <c r="H195" s="498"/>
      <c r="I195" s="498"/>
      <c r="J195" s="498"/>
      <c r="K195" s="498"/>
      <c r="L195" s="499"/>
      <c r="M195" s="242">
        <v>2</v>
      </c>
      <c r="N195" s="242">
        <v>3</v>
      </c>
      <c r="O195" s="243" t="s">
        <v>403</v>
      </c>
      <c r="P195" s="244" t="s">
        <v>24</v>
      </c>
      <c r="Q195" s="500"/>
      <c r="R195" s="501"/>
      <c r="S195" s="245">
        <v>46.1</v>
      </c>
      <c r="T195" s="246">
        <v>0</v>
      </c>
      <c r="U195" s="164">
        <v>46.1</v>
      </c>
      <c r="V195" s="273">
        <f>+V196</f>
        <v>0</v>
      </c>
      <c r="W195" s="273">
        <f t="shared" si="2"/>
        <v>0</v>
      </c>
    </row>
    <row r="196" spans="1:23" ht="21.75" customHeight="1" x14ac:dyDescent="0.2">
      <c r="A196" s="78"/>
      <c r="B196" s="498" t="s">
        <v>346</v>
      </c>
      <c r="C196" s="498"/>
      <c r="D196" s="498"/>
      <c r="E196" s="498"/>
      <c r="F196" s="498"/>
      <c r="G196" s="498"/>
      <c r="H196" s="498"/>
      <c r="I196" s="498"/>
      <c r="J196" s="498"/>
      <c r="K196" s="498"/>
      <c r="L196" s="499"/>
      <c r="M196" s="242">
        <v>2</v>
      </c>
      <c r="N196" s="242">
        <v>3</v>
      </c>
      <c r="O196" s="243" t="s">
        <v>403</v>
      </c>
      <c r="P196" s="244" t="s">
        <v>26</v>
      </c>
      <c r="Q196" s="500"/>
      <c r="R196" s="501"/>
      <c r="S196" s="245">
        <v>46.1</v>
      </c>
      <c r="T196" s="246">
        <v>0</v>
      </c>
      <c r="U196" s="164">
        <v>46.1</v>
      </c>
      <c r="V196" s="273">
        <f>+V197</f>
        <v>0</v>
      </c>
      <c r="W196" s="273">
        <f t="shared" si="2"/>
        <v>0</v>
      </c>
    </row>
    <row r="197" spans="1:23" ht="12.75" customHeight="1" x14ac:dyDescent="0.2">
      <c r="A197" s="78"/>
      <c r="B197" s="498" t="s">
        <v>348</v>
      </c>
      <c r="C197" s="498"/>
      <c r="D197" s="498"/>
      <c r="E197" s="498"/>
      <c r="F197" s="498"/>
      <c r="G197" s="498"/>
      <c r="H197" s="498"/>
      <c r="I197" s="498"/>
      <c r="J197" s="498"/>
      <c r="K197" s="498"/>
      <c r="L197" s="499"/>
      <c r="M197" s="242">
        <v>2</v>
      </c>
      <c r="N197" s="242">
        <v>3</v>
      </c>
      <c r="O197" s="243" t="s">
        <v>403</v>
      </c>
      <c r="P197" s="244" t="s">
        <v>28</v>
      </c>
      <c r="Q197" s="500"/>
      <c r="R197" s="501"/>
      <c r="S197" s="245">
        <v>46.1</v>
      </c>
      <c r="T197" s="246">
        <v>0</v>
      </c>
      <c r="U197" s="164">
        <v>46.1</v>
      </c>
      <c r="V197" s="273"/>
      <c r="W197" s="273">
        <f t="shared" si="2"/>
        <v>0</v>
      </c>
    </row>
    <row r="198" spans="1:23" ht="12.75" customHeight="1" x14ac:dyDescent="0.2">
      <c r="A198" s="78"/>
      <c r="B198" s="498" t="s">
        <v>61</v>
      </c>
      <c r="C198" s="498"/>
      <c r="D198" s="498"/>
      <c r="E198" s="498"/>
      <c r="F198" s="498"/>
      <c r="G198" s="498"/>
      <c r="H198" s="498"/>
      <c r="I198" s="498"/>
      <c r="J198" s="498"/>
      <c r="K198" s="498"/>
      <c r="L198" s="499"/>
      <c r="M198" s="242">
        <v>2</v>
      </c>
      <c r="N198" s="242">
        <v>3</v>
      </c>
      <c r="O198" s="243" t="s">
        <v>403</v>
      </c>
      <c r="P198" s="244" t="s">
        <v>103</v>
      </c>
      <c r="Q198" s="500"/>
      <c r="R198" s="501"/>
      <c r="S198" s="245">
        <v>706.7</v>
      </c>
      <c r="T198" s="246">
        <v>0</v>
      </c>
      <c r="U198" s="164">
        <v>706.7</v>
      </c>
      <c r="V198" s="273">
        <f>+V199</f>
        <v>176.67599999999999</v>
      </c>
      <c r="W198" s="273">
        <f t="shared" si="2"/>
        <v>25.000141502759298</v>
      </c>
    </row>
    <row r="199" spans="1:23" ht="12.75" customHeight="1" x14ac:dyDescent="0.2">
      <c r="A199" s="78"/>
      <c r="B199" s="498" t="s">
        <v>104</v>
      </c>
      <c r="C199" s="498"/>
      <c r="D199" s="498"/>
      <c r="E199" s="498"/>
      <c r="F199" s="498"/>
      <c r="G199" s="498"/>
      <c r="H199" s="498"/>
      <c r="I199" s="498"/>
      <c r="J199" s="498"/>
      <c r="K199" s="498"/>
      <c r="L199" s="499"/>
      <c r="M199" s="242">
        <v>2</v>
      </c>
      <c r="N199" s="242">
        <v>3</v>
      </c>
      <c r="O199" s="243" t="s">
        <v>403</v>
      </c>
      <c r="P199" s="244" t="s">
        <v>105</v>
      </c>
      <c r="Q199" s="500"/>
      <c r="R199" s="501"/>
      <c r="S199" s="245">
        <v>706.7</v>
      </c>
      <c r="T199" s="246">
        <v>0</v>
      </c>
      <c r="U199" s="164">
        <v>706.7</v>
      </c>
      <c r="V199" s="273">
        <f>+'11'!AG635</f>
        <v>176.67599999999999</v>
      </c>
      <c r="W199" s="273">
        <f t="shared" si="2"/>
        <v>25.000141502759298</v>
      </c>
    </row>
    <row r="200" spans="1:23" ht="23.25" customHeight="1" x14ac:dyDescent="0.2">
      <c r="A200" s="78"/>
      <c r="B200" s="510" t="s">
        <v>407</v>
      </c>
      <c r="C200" s="510"/>
      <c r="D200" s="510"/>
      <c r="E200" s="510"/>
      <c r="F200" s="510"/>
      <c r="G200" s="510"/>
      <c r="H200" s="510"/>
      <c r="I200" s="510"/>
      <c r="J200" s="510"/>
      <c r="K200" s="510"/>
      <c r="L200" s="511"/>
      <c r="M200" s="232">
        <v>3</v>
      </c>
      <c r="N200" s="232">
        <v>0</v>
      </c>
      <c r="O200" s="233">
        <v>0</v>
      </c>
      <c r="P200" s="234">
        <v>0</v>
      </c>
      <c r="Q200" s="512"/>
      <c r="R200" s="513"/>
      <c r="S200" s="235">
        <v>1733.8789999999999</v>
      </c>
      <c r="T200" s="236">
        <v>0</v>
      </c>
      <c r="U200" s="165">
        <v>1733.8789999999999</v>
      </c>
      <c r="V200" s="273">
        <f>+V201+V212</f>
        <v>312.08812999999998</v>
      </c>
      <c r="W200" s="273">
        <f t="shared" si="2"/>
        <v>17.999418067812115</v>
      </c>
    </row>
    <row r="201" spans="1:23" ht="30" customHeight="1" x14ac:dyDescent="0.25">
      <c r="A201" s="78"/>
      <c r="B201" s="502" t="s">
        <v>408</v>
      </c>
      <c r="C201" s="502"/>
      <c r="D201" s="502"/>
      <c r="E201" s="502"/>
      <c r="F201" s="502"/>
      <c r="G201" s="502"/>
      <c r="H201" s="502"/>
      <c r="I201" s="502"/>
      <c r="J201" s="502"/>
      <c r="K201" s="502"/>
      <c r="L201" s="503"/>
      <c r="M201" s="237">
        <v>3</v>
      </c>
      <c r="N201" s="237">
        <v>9</v>
      </c>
      <c r="O201" s="238">
        <v>0</v>
      </c>
      <c r="P201" s="239">
        <v>0</v>
      </c>
      <c r="Q201" s="504"/>
      <c r="R201" s="505"/>
      <c r="S201" s="240">
        <v>1591.8789999999999</v>
      </c>
      <c r="T201" s="241">
        <v>0</v>
      </c>
      <c r="U201" s="274">
        <v>1591.8789999999999</v>
      </c>
      <c r="V201" s="273">
        <f>+V202</f>
        <v>312.08812999999998</v>
      </c>
      <c r="W201" s="273">
        <f t="shared" si="2"/>
        <v>19.605015833489855</v>
      </c>
    </row>
    <row r="202" spans="1:23" ht="21.75" customHeight="1" x14ac:dyDescent="0.2">
      <c r="A202" s="78"/>
      <c r="B202" s="498" t="s">
        <v>409</v>
      </c>
      <c r="C202" s="498"/>
      <c r="D202" s="498"/>
      <c r="E202" s="498"/>
      <c r="F202" s="498"/>
      <c r="G202" s="498"/>
      <c r="H202" s="498"/>
      <c r="I202" s="498"/>
      <c r="J202" s="498"/>
      <c r="K202" s="498"/>
      <c r="L202" s="499"/>
      <c r="M202" s="242">
        <v>3</v>
      </c>
      <c r="N202" s="242">
        <v>9</v>
      </c>
      <c r="O202" s="243" t="s">
        <v>410</v>
      </c>
      <c r="P202" s="244">
        <v>0</v>
      </c>
      <c r="Q202" s="500"/>
      <c r="R202" s="501"/>
      <c r="S202" s="245">
        <v>1591.8789999999999</v>
      </c>
      <c r="T202" s="246">
        <v>0</v>
      </c>
      <c r="U202" s="164">
        <v>1591.8789999999999</v>
      </c>
      <c r="V202" s="273">
        <f>+V203+V208</f>
        <v>312.08812999999998</v>
      </c>
      <c r="W202" s="273">
        <f t="shared" si="2"/>
        <v>19.605015833489855</v>
      </c>
    </row>
    <row r="203" spans="1:23" ht="12.75" customHeight="1" x14ac:dyDescent="0.2">
      <c r="A203" s="78"/>
      <c r="B203" s="498" t="s">
        <v>411</v>
      </c>
      <c r="C203" s="498"/>
      <c r="D203" s="498"/>
      <c r="E203" s="498"/>
      <c r="F203" s="498"/>
      <c r="G203" s="498"/>
      <c r="H203" s="498"/>
      <c r="I203" s="498"/>
      <c r="J203" s="498"/>
      <c r="K203" s="498"/>
      <c r="L203" s="499"/>
      <c r="M203" s="242">
        <v>3</v>
      </c>
      <c r="N203" s="242">
        <v>9</v>
      </c>
      <c r="O203" s="243" t="s">
        <v>412</v>
      </c>
      <c r="P203" s="244">
        <v>0</v>
      </c>
      <c r="Q203" s="500"/>
      <c r="R203" s="501"/>
      <c r="S203" s="245">
        <v>1405.6590000000001</v>
      </c>
      <c r="T203" s="246">
        <v>0</v>
      </c>
      <c r="U203" s="164">
        <v>1405.6590000000001</v>
      </c>
      <c r="V203" s="273">
        <f>+V204</f>
        <v>302.23852999999997</v>
      </c>
      <c r="W203" s="273">
        <f t="shared" si="2"/>
        <v>21.501554075348285</v>
      </c>
    </row>
    <row r="204" spans="1:23" ht="53.25" customHeight="1" x14ac:dyDescent="0.2">
      <c r="A204" s="78"/>
      <c r="B204" s="498" t="s">
        <v>17</v>
      </c>
      <c r="C204" s="498"/>
      <c r="D204" s="498"/>
      <c r="E204" s="498"/>
      <c r="F204" s="498"/>
      <c r="G204" s="498"/>
      <c r="H204" s="498"/>
      <c r="I204" s="498"/>
      <c r="J204" s="498"/>
      <c r="K204" s="498"/>
      <c r="L204" s="499"/>
      <c r="M204" s="242">
        <v>3</v>
      </c>
      <c r="N204" s="242">
        <v>9</v>
      </c>
      <c r="O204" s="243" t="s">
        <v>412</v>
      </c>
      <c r="P204" s="244" t="s">
        <v>18</v>
      </c>
      <c r="Q204" s="500"/>
      <c r="R204" s="501"/>
      <c r="S204" s="245">
        <v>1405.6590000000001</v>
      </c>
      <c r="T204" s="246">
        <v>0</v>
      </c>
      <c r="U204" s="164">
        <v>1405.6590000000001</v>
      </c>
      <c r="V204" s="273">
        <f>+V205</f>
        <v>302.23852999999997</v>
      </c>
      <c r="W204" s="273">
        <f t="shared" si="2"/>
        <v>21.501554075348285</v>
      </c>
    </row>
    <row r="205" spans="1:23" ht="21.75" customHeight="1" x14ac:dyDescent="0.2">
      <c r="A205" s="78"/>
      <c r="B205" s="498" t="s">
        <v>37</v>
      </c>
      <c r="C205" s="498"/>
      <c r="D205" s="498"/>
      <c r="E205" s="498"/>
      <c r="F205" s="498"/>
      <c r="G205" s="498"/>
      <c r="H205" s="498"/>
      <c r="I205" s="498"/>
      <c r="J205" s="498"/>
      <c r="K205" s="498"/>
      <c r="L205" s="499"/>
      <c r="M205" s="242">
        <v>3</v>
      </c>
      <c r="N205" s="242">
        <v>9</v>
      </c>
      <c r="O205" s="243" t="s">
        <v>412</v>
      </c>
      <c r="P205" s="244" t="s">
        <v>38</v>
      </c>
      <c r="Q205" s="500"/>
      <c r="R205" s="501"/>
      <c r="S205" s="245">
        <v>1405.6590000000001</v>
      </c>
      <c r="T205" s="246">
        <v>0</v>
      </c>
      <c r="U205" s="164">
        <v>1405.6590000000001</v>
      </c>
      <c r="V205" s="273">
        <f>+V206+V207</f>
        <v>302.23852999999997</v>
      </c>
      <c r="W205" s="273">
        <f t="shared" si="2"/>
        <v>21.501554075348285</v>
      </c>
    </row>
    <row r="206" spans="1:23" ht="21.75" customHeight="1" x14ac:dyDescent="0.2">
      <c r="A206" s="78"/>
      <c r="B206" s="498" t="s">
        <v>333</v>
      </c>
      <c r="C206" s="498"/>
      <c r="D206" s="498"/>
      <c r="E206" s="498"/>
      <c r="F206" s="498"/>
      <c r="G206" s="498"/>
      <c r="H206" s="498"/>
      <c r="I206" s="498"/>
      <c r="J206" s="498"/>
      <c r="K206" s="498"/>
      <c r="L206" s="499"/>
      <c r="M206" s="242">
        <v>3</v>
      </c>
      <c r="N206" s="242">
        <v>9</v>
      </c>
      <c r="O206" s="243" t="s">
        <v>412</v>
      </c>
      <c r="P206" s="244" t="s">
        <v>39</v>
      </c>
      <c r="Q206" s="500"/>
      <c r="R206" s="501"/>
      <c r="S206" s="245">
        <v>1079.615</v>
      </c>
      <c r="T206" s="246">
        <v>0</v>
      </c>
      <c r="U206" s="164">
        <v>1079.615</v>
      </c>
      <c r="V206" s="273">
        <f>+'11'!AG485</f>
        <v>232.13405</v>
      </c>
      <c r="W206" s="273">
        <f t="shared" si="2"/>
        <v>21.501558425920351</v>
      </c>
    </row>
    <row r="207" spans="1:23" ht="32.25" customHeight="1" x14ac:dyDescent="0.2">
      <c r="A207" s="78"/>
      <c r="B207" s="498" t="s">
        <v>334</v>
      </c>
      <c r="C207" s="498"/>
      <c r="D207" s="498"/>
      <c r="E207" s="498"/>
      <c r="F207" s="498"/>
      <c r="G207" s="498"/>
      <c r="H207" s="498"/>
      <c r="I207" s="498"/>
      <c r="J207" s="498"/>
      <c r="K207" s="498"/>
      <c r="L207" s="499"/>
      <c r="M207" s="242">
        <v>3</v>
      </c>
      <c r="N207" s="242">
        <v>9</v>
      </c>
      <c r="O207" s="243" t="s">
        <v>412</v>
      </c>
      <c r="P207" s="244" t="s">
        <v>41</v>
      </c>
      <c r="Q207" s="500"/>
      <c r="R207" s="501"/>
      <c r="S207" s="245">
        <v>326.04399999999998</v>
      </c>
      <c r="T207" s="246">
        <v>0</v>
      </c>
      <c r="U207" s="164">
        <v>326.04399999999998</v>
      </c>
      <c r="V207" s="273">
        <f>+'11'!AG486</f>
        <v>70.104479999999995</v>
      </c>
      <c r="W207" s="273">
        <f t="shared" si="2"/>
        <v>21.501539669492463</v>
      </c>
    </row>
    <row r="208" spans="1:23" ht="12.75" customHeight="1" x14ac:dyDescent="0.2">
      <c r="A208" s="78"/>
      <c r="B208" s="498" t="s">
        <v>413</v>
      </c>
      <c r="C208" s="498"/>
      <c r="D208" s="498"/>
      <c r="E208" s="498"/>
      <c r="F208" s="498"/>
      <c r="G208" s="498"/>
      <c r="H208" s="498"/>
      <c r="I208" s="498"/>
      <c r="J208" s="498"/>
      <c r="K208" s="498"/>
      <c r="L208" s="499"/>
      <c r="M208" s="242">
        <v>3</v>
      </c>
      <c r="N208" s="242">
        <v>9</v>
      </c>
      <c r="O208" s="243" t="s">
        <v>414</v>
      </c>
      <c r="P208" s="244">
        <v>0</v>
      </c>
      <c r="Q208" s="500"/>
      <c r="R208" s="501"/>
      <c r="S208" s="245">
        <v>186.22</v>
      </c>
      <c r="T208" s="246">
        <v>0</v>
      </c>
      <c r="U208" s="164">
        <v>186.22</v>
      </c>
      <c r="V208" s="273">
        <f>+V209</f>
        <v>9.8496000000000006</v>
      </c>
      <c r="W208" s="273">
        <f t="shared" si="2"/>
        <v>5.2892277950810866</v>
      </c>
    </row>
    <row r="209" spans="1:23" ht="21.75" customHeight="1" x14ac:dyDescent="0.2">
      <c r="A209" s="78"/>
      <c r="B209" s="498" t="s">
        <v>345</v>
      </c>
      <c r="C209" s="498"/>
      <c r="D209" s="498"/>
      <c r="E209" s="498"/>
      <c r="F209" s="498"/>
      <c r="G209" s="498"/>
      <c r="H209" s="498"/>
      <c r="I209" s="498"/>
      <c r="J209" s="498"/>
      <c r="K209" s="498"/>
      <c r="L209" s="499"/>
      <c r="M209" s="242">
        <v>3</v>
      </c>
      <c r="N209" s="242">
        <v>9</v>
      </c>
      <c r="O209" s="243" t="s">
        <v>414</v>
      </c>
      <c r="P209" s="244" t="s">
        <v>24</v>
      </c>
      <c r="Q209" s="500"/>
      <c r="R209" s="501"/>
      <c r="S209" s="245">
        <v>186.22</v>
      </c>
      <c r="T209" s="246">
        <v>0</v>
      </c>
      <c r="U209" s="164">
        <v>186.22</v>
      </c>
      <c r="V209" s="273">
        <f>+V210</f>
        <v>9.8496000000000006</v>
      </c>
      <c r="W209" s="273">
        <f t="shared" si="2"/>
        <v>5.2892277950810866</v>
      </c>
    </row>
    <row r="210" spans="1:23" ht="21.75" customHeight="1" x14ac:dyDescent="0.2">
      <c r="A210" s="78"/>
      <c r="B210" s="498" t="s">
        <v>346</v>
      </c>
      <c r="C210" s="498"/>
      <c r="D210" s="498"/>
      <c r="E210" s="498"/>
      <c r="F210" s="498"/>
      <c r="G210" s="498"/>
      <c r="H210" s="498"/>
      <c r="I210" s="498"/>
      <c r="J210" s="498"/>
      <c r="K210" s="498"/>
      <c r="L210" s="499"/>
      <c r="M210" s="242">
        <v>3</v>
      </c>
      <c r="N210" s="242">
        <v>9</v>
      </c>
      <c r="O210" s="243" t="s">
        <v>414</v>
      </c>
      <c r="P210" s="244" t="s">
        <v>26</v>
      </c>
      <c r="Q210" s="500"/>
      <c r="R210" s="501"/>
      <c r="S210" s="245">
        <v>186.22</v>
      </c>
      <c r="T210" s="246">
        <v>0</v>
      </c>
      <c r="U210" s="164">
        <v>186.22</v>
      </c>
      <c r="V210" s="273">
        <f>+V211</f>
        <v>9.8496000000000006</v>
      </c>
      <c r="W210" s="273">
        <f t="shared" si="2"/>
        <v>5.2892277950810866</v>
      </c>
    </row>
    <row r="211" spans="1:23" ht="21.75" customHeight="1" x14ac:dyDescent="0.2">
      <c r="A211" s="78"/>
      <c r="B211" s="498" t="s">
        <v>347</v>
      </c>
      <c r="C211" s="498"/>
      <c r="D211" s="498"/>
      <c r="E211" s="498"/>
      <c r="F211" s="498"/>
      <c r="G211" s="498"/>
      <c r="H211" s="498"/>
      <c r="I211" s="498"/>
      <c r="J211" s="498"/>
      <c r="K211" s="498"/>
      <c r="L211" s="499"/>
      <c r="M211" s="242">
        <v>3</v>
      </c>
      <c r="N211" s="242">
        <v>9</v>
      </c>
      <c r="O211" s="243" t="s">
        <v>414</v>
      </c>
      <c r="P211" s="244" t="s">
        <v>27</v>
      </c>
      <c r="Q211" s="500"/>
      <c r="R211" s="501"/>
      <c r="S211" s="245">
        <v>186.22</v>
      </c>
      <c r="T211" s="246">
        <v>0</v>
      </c>
      <c r="U211" s="164">
        <v>186.22</v>
      </c>
      <c r="V211" s="273">
        <f>+'11'!AG490</f>
        <v>9.8496000000000006</v>
      </c>
      <c r="W211" s="273">
        <f t="shared" ref="W211:W274" si="3">V211/U211*100</f>
        <v>5.2892277950810866</v>
      </c>
    </row>
    <row r="212" spans="1:23" ht="30" customHeight="1" x14ac:dyDescent="0.25">
      <c r="A212" s="78"/>
      <c r="B212" s="502" t="s">
        <v>556</v>
      </c>
      <c r="C212" s="502"/>
      <c r="D212" s="502"/>
      <c r="E212" s="502"/>
      <c r="F212" s="502"/>
      <c r="G212" s="502"/>
      <c r="H212" s="502"/>
      <c r="I212" s="502"/>
      <c r="J212" s="502"/>
      <c r="K212" s="502"/>
      <c r="L212" s="503"/>
      <c r="M212" s="237">
        <v>3</v>
      </c>
      <c r="N212" s="237">
        <v>14</v>
      </c>
      <c r="O212" s="238">
        <v>0</v>
      </c>
      <c r="P212" s="239">
        <v>0</v>
      </c>
      <c r="Q212" s="504"/>
      <c r="R212" s="505"/>
      <c r="S212" s="240">
        <v>142</v>
      </c>
      <c r="T212" s="241">
        <v>0</v>
      </c>
      <c r="U212" s="274">
        <v>142</v>
      </c>
      <c r="V212" s="273">
        <f t="shared" ref="V212:V217" si="4">+V213</f>
        <v>0</v>
      </c>
      <c r="W212" s="273">
        <f t="shared" si="3"/>
        <v>0</v>
      </c>
    </row>
    <row r="213" spans="1:23" ht="21.75" customHeight="1" x14ac:dyDescent="0.2">
      <c r="A213" s="78"/>
      <c r="B213" s="498" t="s">
        <v>384</v>
      </c>
      <c r="C213" s="498"/>
      <c r="D213" s="498"/>
      <c r="E213" s="498"/>
      <c r="F213" s="498"/>
      <c r="G213" s="498"/>
      <c r="H213" s="498"/>
      <c r="I213" s="498"/>
      <c r="J213" s="498"/>
      <c r="K213" s="498"/>
      <c r="L213" s="499"/>
      <c r="M213" s="242">
        <v>3</v>
      </c>
      <c r="N213" s="242">
        <v>14</v>
      </c>
      <c r="O213" s="243" t="s">
        <v>385</v>
      </c>
      <c r="P213" s="244">
        <v>0</v>
      </c>
      <c r="Q213" s="500"/>
      <c r="R213" s="501"/>
      <c r="S213" s="245">
        <v>142</v>
      </c>
      <c r="T213" s="246">
        <v>0</v>
      </c>
      <c r="U213" s="164">
        <v>142</v>
      </c>
      <c r="V213" s="273">
        <f t="shared" si="4"/>
        <v>0</v>
      </c>
      <c r="W213" s="273">
        <f t="shared" si="3"/>
        <v>0</v>
      </c>
    </row>
    <row r="214" spans="1:23" ht="12.75" customHeight="1" x14ac:dyDescent="0.2">
      <c r="A214" s="78"/>
      <c r="B214" s="498" t="s">
        <v>386</v>
      </c>
      <c r="C214" s="498"/>
      <c r="D214" s="498"/>
      <c r="E214" s="498"/>
      <c r="F214" s="498"/>
      <c r="G214" s="498"/>
      <c r="H214" s="498"/>
      <c r="I214" s="498"/>
      <c r="J214" s="498"/>
      <c r="K214" s="498"/>
      <c r="L214" s="499"/>
      <c r="M214" s="242">
        <v>3</v>
      </c>
      <c r="N214" s="242">
        <v>14</v>
      </c>
      <c r="O214" s="243" t="s">
        <v>387</v>
      </c>
      <c r="P214" s="244">
        <v>0</v>
      </c>
      <c r="Q214" s="500"/>
      <c r="R214" s="501"/>
      <c r="S214" s="245">
        <v>142</v>
      </c>
      <c r="T214" s="246">
        <v>0</v>
      </c>
      <c r="U214" s="164">
        <v>142</v>
      </c>
      <c r="V214" s="273">
        <f t="shared" si="4"/>
        <v>0</v>
      </c>
      <c r="W214" s="273">
        <f t="shared" si="3"/>
        <v>0</v>
      </c>
    </row>
    <row r="215" spans="1:23" ht="32.25" customHeight="1" x14ac:dyDescent="0.2">
      <c r="A215" s="78"/>
      <c r="B215" s="498" t="s">
        <v>388</v>
      </c>
      <c r="C215" s="498"/>
      <c r="D215" s="498"/>
      <c r="E215" s="498"/>
      <c r="F215" s="498"/>
      <c r="G215" s="498"/>
      <c r="H215" s="498"/>
      <c r="I215" s="498"/>
      <c r="J215" s="498"/>
      <c r="K215" s="498"/>
      <c r="L215" s="499"/>
      <c r="M215" s="242">
        <v>3</v>
      </c>
      <c r="N215" s="242">
        <v>14</v>
      </c>
      <c r="O215" s="243" t="s">
        <v>389</v>
      </c>
      <c r="P215" s="244">
        <v>0</v>
      </c>
      <c r="Q215" s="500"/>
      <c r="R215" s="501"/>
      <c r="S215" s="245">
        <v>142</v>
      </c>
      <c r="T215" s="246">
        <v>0</v>
      </c>
      <c r="U215" s="164">
        <v>142</v>
      </c>
      <c r="V215" s="273">
        <f t="shared" si="4"/>
        <v>0</v>
      </c>
      <c r="W215" s="273">
        <f t="shared" si="3"/>
        <v>0</v>
      </c>
    </row>
    <row r="216" spans="1:23" ht="21.75" customHeight="1" x14ac:dyDescent="0.2">
      <c r="A216" s="78"/>
      <c r="B216" s="498" t="s">
        <v>345</v>
      </c>
      <c r="C216" s="498"/>
      <c r="D216" s="498"/>
      <c r="E216" s="498"/>
      <c r="F216" s="498"/>
      <c r="G216" s="498"/>
      <c r="H216" s="498"/>
      <c r="I216" s="498"/>
      <c r="J216" s="498"/>
      <c r="K216" s="498"/>
      <c r="L216" s="499"/>
      <c r="M216" s="242">
        <v>3</v>
      </c>
      <c r="N216" s="242">
        <v>14</v>
      </c>
      <c r="O216" s="243" t="s">
        <v>389</v>
      </c>
      <c r="P216" s="244" t="s">
        <v>24</v>
      </c>
      <c r="Q216" s="500"/>
      <c r="R216" s="501"/>
      <c r="S216" s="245">
        <v>142</v>
      </c>
      <c r="T216" s="246">
        <v>0</v>
      </c>
      <c r="U216" s="164">
        <v>142</v>
      </c>
      <c r="V216" s="273">
        <f t="shared" si="4"/>
        <v>0</v>
      </c>
      <c r="W216" s="273">
        <f t="shared" si="3"/>
        <v>0</v>
      </c>
    </row>
    <row r="217" spans="1:23" ht="21.75" customHeight="1" x14ac:dyDescent="0.2">
      <c r="A217" s="78"/>
      <c r="B217" s="498" t="s">
        <v>346</v>
      </c>
      <c r="C217" s="498"/>
      <c r="D217" s="498"/>
      <c r="E217" s="498"/>
      <c r="F217" s="498"/>
      <c r="G217" s="498"/>
      <c r="H217" s="498"/>
      <c r="I217" s="498"/>
      <c r="J217" s="498"/>
      <c r="K217" s="498"/>
      <c r="L217" s="499"/>
      <c r="M217" s="242">
        <v>3</v>
      </c>
      <c r="N217" s="242">
        <v>14</v>
      </c>
      <c r="O217" s="243" t="s">
        <v>389</v>
      </c>
      <c r="P217" s="244" t="s">
        <v>26</v>
      </c>
      <c r="Q217" s="500"/>
      <c r="R217" s="501"/>
      <c r="S217" s="245">
        <v>142</v>
      </c>
      <c r="T217" s="246">
        <v>0</v>
      </c>
      <c r="U217" s="164">
        <v>142</v>
      </c>
      <c r="V217" s="273">
        <f t="shared" si="4"/>
        <v>0</v>
      </c>
      <c r="W217" s="273">
        <f t="shared" si="3"/>
        <v>0</v>
      </c>
    </row>
    <row r="218" spans="1:23" ht="12.75" customHeight="1" x14ac:dyDescent="0.2">
      <c r="A218" s="78"/>
      <c r="B218" s="498" t="s">
        <v>348</v>
      </c>
      <c r="C218" s="498"/>
      <c r="D218" s="498"/>
      <c r="E218" s="498"/>
      <c r="F218" s="498"/>
      <c r="G218" s="498"/>
      <c r="H218" s="498"/>
      <c r="I218" s="498"/>
      <c r="J218" s="498"/>
      <c r="K218" s="498"/>
      <c r="L218" s="499"/>
      <c r="M218" s="242">
        <v>3</v>
      </c>
      <c r="N218" s="242">
        <v>14</v>
      </c>
      <c r="O218" s="243" t="s">
        <v>389</v>
      </c>
      <c r="P218" s="244" t="s">
        <v>28</v>
      </c>
      <c r="Q218" s="500"/>
      <c r="R218" s="501"/>
      <c r="S218" s="245">
        <v>142</v>
      </c>
      <c r="T218" s="246">
        <v>0</v>
      </c>
      <c r="U218" s="164">
        <v>142</v>
      </c>
      <c r="V218" s="273"/>
      <c r="W218" s="273">
        <f t="shared" si="3"/>
        <v>0</v>
      </c>
    </row>
    <row r="219" spans="1:23" ht="12.75" customHeight="1" x14ac:dyDescent="0.2">
      <c r="A219" s="78"/>
      <c r="B219" s="510" t="s">
        <v>415</v>
      </c>
      <c r="C219" s="510"/>
      <c r="D219" s="510"/>
      <c r="E219" s="510"/>
      <c r="F219" s="510"/>
      <c r="G219" s="510"/>
      <c r="H219" s="510"/>
      <c r="I219" s="510"/>
      <c r="J219" s="510"/>
      <c r="K219" s="510"/>
      <c r="L219" s="511"/>
      <c r="M219" s="232">
        <v>4</v>
      </c>
      <c r="N219" s="232">
        <v>0</v>
      </c>
      <c r="O219" s="233">
        <v>0</v>
      </c>
      <c r="P219" s="234">
        <v>0</v>
      </c>
      <c r="Q219" s="512"/>
      <c r="R219" s="513"/>
      <c r="S219" s="235">
        <v>7243.7280000000001</v>
      </c>
      <c r="T219" s="236">
        <v>0</v>
      </c>
      <c r="U219" s="165">
        <v>7243.7280000000001</v>
      </c>
      <c r="V219" s="273">
        <f>+V220+V249+V256</f>
        <v>1140.6012799999999</v>
      </c>
      <c r="W219" s="273">
        <f t="shared" si="3"/>
        <v>15.746053413380512</v>
      </c>
    </row>
    <row r="220" spans="1:23" ht="12.75" customHeight="1" x14ac:dyDescent="0.25">
      <c r="A220" s="78"/>
      <c r="B220" s="502" t="s">
        <v>62</v>
      </c>
      <c r="C220" s="502"/>
      <c r="D220" s="502"/>
      <c r="E220" s="502"/>
      <c r="F220" s="502"/>
      <c r="G220" s="502"/>
      <c r="H220" s="502"/>
      <c r="I220" s="502"/>
      <c r="J220" s="502"/>
      <c r="K220" s="502"/>
      <c r="L220" s="503"/>
      <c r="M220" s="237">
        <v>4</v>
      </c>
      <c r="N220" s="237">
        <v>5</v>
      </c>
      <c r="O220" s="238">
        <v>0</v>
      </c>
      <c r="P220" s="239">
        <v>0</v>
      </c>
      <c r="Q220" s="504"/>
      <c r="R220" s="505"/>
      <c r="S220" s="240">
        <v>3115.4059999999999</v>
      </c>
      <c r="T220" s="241">
        <v>0</v>
      </c>
      <c r="U220" s="274">
        <v>3115.4059999999999</v>
      </c>
      <c r="V220" s="273">
        <f>+V221+V230</f>
        <v>802.11496</v>
      </c>
      <c r="W220" s="273">
        <f t="shared" si="3"/>
        <v>25.74672322002333</v>
      </c>
    </row>
    <row r="221" spans="1:23" ht="21.75" customHeight="1" x14ac:dyDescent="0.2">
      <c r="A221" s="78"/>
      <c r="B221" s="498" t="s">
        <v>64</v>
      </c>
      <c r="C221" s="498"/>
      <c r="D221" s="498"/>
      <c r="E221" s="498"/>
      <c r="F221" s="498"/>
      <c r="G221" s="498"/>
      <c r="H221" s="498"/>
      <c r="I221" s="498"/>
      <c r="J221" s="498"/>
      <c r="K221" s="498"/>
      <c r="L221" s="499"/>
      <c r="M221" s="242">
        <v>4</v>
      </c>
      <c r="N221" s="242">
        <v>5</v>
      </c>
      <c r="O221" s="243" t="s">
        <v>416</v>
      </c>
      <c r="P221" s="244">
        <v>0</v>
      </c>
      <c r="Q221" s="500"/>
      <c r="R221" s="501"/>
      <c r="S221" s="245">
        <v>349</v>
      </c>
      <c r="T221" s="246">
        <v>0</v>
      </c>
      <c r="U221" s="164">
        <v>349</v>
      </c>
      <c r="V221" s="273">
        <f>+V222</f>
        <v>25</v>
      </c>
      <c r="W221" s="273">
        <f t="shared" si="3"/>
        <v>7.1633237822349569</v>
      </c>
    </row>
    <row r="222" spans="1:23" ht="32.25" customHeight="1" x14ac:dyDescent="0.2">
      <c r="A222" s="78"/>
      <c r="B222" s="498" t="s">
        <v>67</v>
      </c>
      <c r="C222" s="498"/>
      <c r="D222" s="498"/>
      <c r="E222" s="498"/>
      <c r="F222" s="498"/>
      <c r="G222" s="498"/>
      <c r="H222" s="498"/>
      <c r="I222" s="498"/>
      <c r="J222" s="498"/>
      <c r="K222" s="498"/>
      <c r="L222" s="499"/>
      <c r="M222" s="242">
        <v>4</v>
      </c>
      <c r="N222" s="242">
        <v>5</v>
      </c>
      <c r="O222" s="243" t="s">
        <v>417</v>
      </c>
      <c r="P222" s="244">
        <v>0</v>
      </c>
      <c r="Q222" s="500"/>
      <c r="R222" s="501"/>
      <c r="S222" s="245">
        <v>349</v>
      </c>
      <c r="T222" s="246">
        <v>0</v>
      </c>
      <c r="U222" s="164">
        <v>349</v>
      </c>
      <c r="V222" s="273">
        <f>+V223</f>
        <v>25</v>
      </c>
      <c r="W222" s="273">
        <f t="shared" si="3"/>
        <v>7.1633237822349569</v>
      </c>
    </row>
    <row r="223" spans="1:23" ht="12.75" customHeight="1" x14ac:dyDescent="0.2">
      <c r="A223" s="78"/>
      <c r="B223" s="498" t="s">
        <v>418</v>
      </c>
      <c r="C223" s="498"/>
      <c r="D223" s="498"/>
      <c r="E223" s="498"/>
      <c r="F223" s="498"/>
      <c r="G223" s="498"/>
      <c r="H223" s="498"/>
      <c r="I223" s="498"/>
      <c r="J223" s="498"/>
      <c r="K223" s="498"/>
      <c r="L223" s="499"/>
      <c r="M223" s="242">
        <v>4</v>
      </c>
      <c r="N223" s="242">
        <v>5</v>
      </c>
      <c r="O223" s="243" t="s">
        <v>419</v>
      </c>
      <c r="P223" s="244">
        <v>0</v>
      </c>
      <c r="Q223" s="500"/>
      <c r="R223" s="501"/>
      <c r="S223" s="245">
        <v>349</v>
      </c>
      <c r="T223" s="246">
        <v>0</v>
      </c>
      <c r="U223" s="164">
        <v>349</v>
      </c>
      <c r="V223" s="273">
        <f>+V224+V227</f>
        <v>25</v>
      </c>
      <c r="W223" s="273">
        <f t="shared" si="3"/>
        <v>7.1633237822349569</v>
      </c>
    </row>
    <row r="224" spans="1:23" ht="21.75" customHeight="1" x14ac:dyDescent="0.2">
      <c r="A224" s="78"/>
      <c r="B224" s="498" t="s">
        <v>345</v>
      </c>
      <c r="C224" s="498"/>
      <c r="D224" s="498"/>
      <c r="E224" s="498"/>
      <c r="F224" s="498"/>
      <c r="G224" s="498"/>
      <c r="H224" s="498"/>
      <c r="I224" s="498"/>
      <c r="J224" s="498"/>
      <c r="K224" s="498"/>
      <c r="L224" s="499"/>
      <c r="M224" s="242">
        <v>4</v>
      </c>
      <c r="N224" s="242">
        <v>5</v>
      </c>
      <c r="O224" s="243" t="s">
        <v>419</v>
      </c>
      <c r="P224" s="244" t="s">
        <v>24</v>
      </c>
      <c r="Q224" s="500"/>
      <c r="R224" s="501"/>
      <c r="S224" s="245">
        <v>199</v>
      </c>
      <c r="T224" s="246">
        <v>0</v>
      </c>
      <c r="U224" s="164">
        <v>199</v>
      </c>
      <c r="V224" s="273">
        <f>+V225</f>
        <v>25</v>
      </c>
      <c r="W224" s="273">
        <f t="shared" si="3"/>
        <v>12.562814070351758</v>
      </c>
    </row>
    <row r="225" spans="1:23" ht="21.75" customHeight="1" x14ac:dyDescent="0.2">
      <c r="A225" s="78"/>
      <c r="B225" s="498" t="s">
        <v>346</v>
      </c>
      <c r="C225" s="498"/>
      <c r="D225" s="498"/>
      <c r="E225" s="498"/>
      <c r="F225" s="498"/>
      <c r="G225" s="498"/>
      <c r="H225" s="498"/>
      <c r="I225" s="498"/>
      <c r="J225" s="498"/>
      <c r="K225" s="498"/>
      <c r="L225" s="499"/>
      <c r="M225" s="242">
        <v>4</v>
      </c>
      <c r="N225" s="242">
        <v>5</v>
      </c>
      <c r="O225" s="243" t="s">
        <v>419</v>
      </c>
      <c r="P225" s="244" t="s">
        <v>26</v>
      </c>
      <c r="Q225" s="500"/>
      <c r="R225" s="501"/>
      <c r="S225" s="245">
        <v>199</v>
      </c>
      <c r="T225" s="246">
        <v>0</v>
      </c>
      <c r="U225" s="164">
        <v>199</v>
      </c>
      <c r="V225" s="273">
        <f>+V226</f>
        <v>25</v>
      </c>
      <c r="W225" s="273">
        <f t="shared" si="3"/>
        <v>12.562814070351758</v>
      </c>
    </row>
    <row r="226" spans="1:23" ht="12.75" customHeight="1" x14ac:dyDescent="0.2">
      <c r="A226" s="78"/>
      <c r="B226" s="498" t="s">
        <v>348</v>
      </c>
      <c r="C226" s="498"/>
      <c r="D226" s="498"/>
      <c r="E226" s="498"/>
      <c r="F226" s="498"/>
      <c r="G226" s="498"/>
      <c r="H226" s="498"/>
      <c r="I226" s="498"/>
      <c r="J226" s="498"/>
      <c r="K226" s="498"/>
      <c r="L226" s="499"/>
      <c r="M226" s="242">
        <v>4</v>
      </c>
      <c r="N226" s="242">
        <v>5</v>
      </c>
      <c r="O226" s="243" t="s">
        <v>419</v>
      </c>
      <c r="P226" s="244" t="s">
        <v>28</v>
      </c>
      <c r="Q226" s="500"/>
      <c r="R226" s="501"/>
      <c r="S226" s="245">
        <v>199</v>
      </c>
      <c r="T226" s="246">
        <v>0</v>
      </c>
      <c r="U226" s="164">
        <v>199</v>
      </c>
      <c r="V226" s="273">
        <f>+'11'!AG212</f>
        <v>25</v>
      </c>
      <c r="W226" s="273">
        <f t="shared" si="3"/>
        <v>12.562814070351758</v>
      </c>
    </row>
    <row r="227" spans="1:23" ht="12.75" customHeight="1" x14ac:dyDescent="0.2">
      <c r="A227" s="78"/>
      <c r="B227" s="498" t="s">
        <v>29</v>
      </c>
      <c r="C227" s="498"/>
      <c r="D227" s="498"/>
      <c r="E227" s="498"/>
      <c r="F227" s="498"/>
      <c r="G227" s="498"/>
      <c r="H227" s="498"/>
      <c r="I227" s="498"/>
      <c r="J227" s="498"/>
      <c r="K227" s="498"/>
      <c r="L227" s="499"/>
      <c r="M227" s="242">
        <v>4</v>
      </c>
      <c r="N227" s="242">
        <v>5</v>
      </c>
      <c r="O227" s="243" t="s">
        <v>419</v>
      </c>
      <c r="P227" s="244" t="s">
        <v>30</v>
      </c>
      <c r="Q227" s="500"/>
      <c r="R227" s="501"/>
      <c r="S227" s="245">
        <v>150</v>
      </c>
      <c r="T227" s="246">
        <v>0</v>
      </c>
      <c r="U227" s="164">
        <v>150</v>
      </c>
      <c r="V227" s="273">
        <f>+V228</f>
        <v>0</v>
      </c>
      <c r="W227" s="273">
        <f t="shared" si="3"/>
        <v>0</v>
      </c>
    </row>
    <row r="228" spans="1:23" ht="42.75" customHeight="1" x14ac:dyDescent="0.2">
      <c r="A228" s="78"/>
      <c r="B228" s="498" t="s">
        <v>420</v>
      </c>
      <c r="C228" s="498"/>
      <c r="D228" s="498"/>
      <c r="E228" s="498"/>
      <c r="F228" s="498"/>
      <c r="G228" s="498"/>
      <c r="H228" s="498"/>
      <c r="I228" s="498"/>
      <c r="J228" s="498"/>
      <c r="K228" s="498"/>
      <c r="L228" s="499"/>
      <c r="M228" s="242">
        <v>4</v>
      </c>
      <c r="N228" s="242">
        <v>5</v>
      </c>
      <c r="O228" s="243" t="s">
        <v>419</v>
      </c>
      <c r="P228" s="244" t="s">
        <v>66</v>
      </c>
      <c r="Q228" s="500"/>
      <c r="R228" s="501"/>
      <c r="S228" s="245">
        <v>150</v>
      </c>
      <c r="T228" s="246">
        <v>0</v>
      </c>
      <c r="U228" s="164">
        <v>150</v>
      </c>
      <c r="V228" s="273">
        <f>+V229</f>
        <v>0</v>
      </c>
      <c r="W228" s="273">
        <f t="shared" si="3"/>
        <v>0</v>
      </c>
    </row>
    <row r="229" spans="1:23" ht="74.25" customHeight="1" x14ac:dyDescent="0.2">
      <c r="A229" s="78"/>
      <c r="B229" s="498" t="s">
        <v>557</v>
      </c>
      <c r="C229" s="498"/>
      <c r="D229" s="498"/>
      <c r="E229" s="498"/>
      <c r="F229" s="498"/>
      <c r="G229" s="498"/>
      <c r="H229" s="498"/>
      <c r="I229" s="498"/>
      <c r="J229" s="498"/>
      <c r="K229" s="498"/>
      <c r="L229" s="499"/>
      <c r="M229" s="242">
        <v>4</v>
      </c>
      <c r="N229" s="242">
        <v>5</v>
      </c>
      <c r="O229" s="243" t="s">
        <v>419</v>
      </c>
      <c r="P229" s="244" t="s">
        <v>558</v>
      </c>
      <c r="Q229" s="500"/>
      <c r="R229" s="501"/>
      <c r="S229" s="245">
        <v>150</v>
      </c>
      <c r="T229" s="246">
        <v>0</v>
      </c>
      <c r="U229" s="164">
        <v>150</v>
      </c>
      <c r="V229" s="273"/>
      <c r="W229" s="273">
        <f t="shared" si="3"/>
        <v>0</v>
      </c>
    </row>
    <row r="230" spans="1:23" ht="21.75" customHeight="1" x14ac:dyDescent="0.2">
      <c r="A230" s="78"/>
      <c r="B230" s="498" t="s">
        <v>59</v>
      </c>
      <c r="C230" s="498"/>
      <c r="D230" s="498"/>
      <c r="E230" s="498"/>
      <c r="F230" s="498"/>
      <c r="G230" s="498"/>
      <c r="H230" s="498"/>
      <c r="I230" s="498"/>
      <c r="J230" s="498"/>
      <c r="K230" s="498"/>
      <c r="L230" s="499"/>
      <c r="M230" s="242">
        <v>4</v>
      </c>
      <c r="N230" s="242">
        <v>5</v>
      </c>
      <c r="O230" s="243" t="s">
        <v>361</v>
      </c>
      <c r="P230" s="244">
        <v>0</v>
      </c>
      <c r="Q230" s="500"/>
      <c r="R230" s="501"/>
      <c r="S230" s="245">
        <v>2766.4059999999999</v>
      </c>
      <c r="T230" s="246">
        <v>0</v>
      </c>
      <c r="U230" s="164">
        <v>2766.4059999999999</v>
      </c>
      <c r="V230" s="273">
        <f>+V231+V236+V245</f>
        <v>777.11496</v>
      </c>
      <c r="W230" s="273">
        <f t="shared" si="3"/>
        <v>28.091139189258556</v>
      </c>
    </row>
    <row r="231" spans="1:23" ht="42.75" customHeight="1" x14ac:dyDescent="0.2">
      <c r="A231" s="78"/>
      <c r="B231" s="498" t="s">
        <v>362</v>
      </c>
      <c r="C231" s="498"/>
      <c r="D231" s="498"/>
      <c r="E231" s="498"/>
      <c r="F231" s="498"/>
      <c r="G231" s="498"/>
      <c r="H231" s="498"/>
      <c r="I231" s="498"/>
      <c r="J231" s="498"/>
      <c r="K231" s="498"/>
      <c r="L231" s="499"/>
      <c r="M231" s="242">
        <v>4</v>
      </c>
      <c r="N231" s="242">
        <v>5</v>
      </c>
      <c r="O231" s="243" t="s">
        <v>363</v>
      </c>
      <c r="P231" s="244">
        <v>0</v>
      </c>
      <c r="Q231" s="500"/>
      <c r="R231" s="501"/>
      <c r="S231" s="245">
        <v>2224.7429999999999</v>
      </c>
      <c r="T231" s="246">
        <v>0</v>
      </c>
      <c r="U231" s="164">
        <v>2224.7429999999999</v>
      </c>
      <c r="V231" s="273">
        <f>+V232</f>
        <v>678.43030999999996</v>
      </c>
      <c r="W231" s="273">
        <f t="shared" si="3"/>
        <v>30.49477220514909</v>
      </c>
    </row>
    <row r="232" spans="1:23" ht="53.25" customHeight="1" x14ac:dyDescent="0.2">
      <c r="A232" s="78"/>
      <c r="B232" s="498" t="s">
        <v>17</v>
      </c>
      <c r="C232" s="498"/>
      <c r="D232" s="498"/>
      <c r="E232" s="498"/>
      <c r="F232" s="498"/>
      <c r="G232" s="498"/>
      <c r="H232" s="498"/>
      <c r="I232" s="498"/>
      <c r="J232" s="498"/>
      <c r="K232" s="498"/>
      <c r="L232" s="499"/>
      <c r="M232" s="242">
        <v>4</v>
      </c>
      <c r="N232" s="242">
        <v>5</v>
      </c>
      <c r="O232" s="243" t="s">
        <v>363</v>
      </c>
      <c r="P232" s="244" t="s">
        <v>18</v>
      </c>
      <c r="Q232" s="500"/>
      <c r="R232" s="501"/>
      <c r="S232" s="245">
        <v>2224.7429999999999</v>
      </c>
      <c r="T232" s="246">
        <v>0</v>
      </c>
      <c r="U232" s="164">
        <v>2224.7429999999999</v>
      </c>
      <c r="V232" s="273">
        <f>+V233</f>
        <v>678.43030999999996</v>
      </c>
      <c r="W232" s="273">
        <f t="shared" si="3"/>
        <v>30.49477220514909</v>
      </c>
    </row>
    <row r="233" spans="1:23" ht="21.75" customHeight="1" x14ac:dyDescent="0.2">
      <c r="A233" s="78"/>
      <c r="B233" s="498" t="s">
        <v>37</v>
      </c>
      <c r="C233" s="498"/>
      <c r="D233" s="498"/>
      <c r="E233" s="498"/>
      <c r="F233" s="498"/>
      <c r="G233" s="498"/>
      <c r="H233" s="498"/>
      <c r="I233" s="498"/>
      <c r="J233" s="498"/>
      <c r="K233" s="498"/>
      <c r="L233" s="499"/>
      <c r="M233" s="242">
        <v>4</v>
      </c>
      <c r="N233" s="242">
        <v>5</v>
      </c>
      <c r="O233" s="243" t="s">
        <v>363</v>
      </c>
      <c r="P233" s="244" t="s">
        <v>38</v>
      </c>
      <c r="Q233" s="500"/>
      <c r="R233" s="501"/>
      <c r="S233" s="245">
        <v>2224.7429999999999</v>
      </c>
      <c r="T233" s="246">
        <v>0</v>
      </c>
      <c r="U233" s="164">
        <v>2224.7429999999999</v>
      </c>
      <c r="V233" s="273">
        <f>+V234+V235</f>
        <v>678.43030999999996</v>
      </c>
      <c r="W233" s="273">
        <f t="shared" si="3"/>
        <v>30.49477220514909</v>
      </c>
    </row>
    <row r="234" spans="1:23" ht="21.75" customHeight="1" x14ac:dyDescent="0.2">
      <c r="A234" s="78"/>
      <c r="B234" s="498" t="s">
        <v>333</v>
      </c>
      <c r="C234" s="498"/>
      <c r="D234" s="498"/>
      <c r="E234" s="498"/>
      <c r="F234" s="498"/>
      <c r="G234" s="498"/>
      <c r="H234" s="498"/>
      <c r="I234" s="498"/>
      <c r="J234" s="498"/>
      <c r="K234" s="498"/>
      <c r="L234" s="499"/>
      <c r="M234" s="242">
        <v>4</v>
      </c>
      <c r="N234" s="242">
        <v>5</v>
      </c>
      <c r="O234" s="243" t="s">
        <v>363</v>
      </c>
      <c r="P234" s="244" t="s">
        <v>39</v>
      </c>
      <c r="Q234" s="500"/>
      <c r="R234" s="501"/>
      <c r="S234" s="245">
        <v>1708.712</v>
      </c>
      <c r="T234" s="246">
        <v>0</v>
      </c>
      <c r="U234" s="164">
        <v>1708.712</v>
      </c>
      <c r="V234" s="273">
        <f>+'11'!AG220</f>
        <v>521.06782999999996</v>
      </c>
      <c r="W234" s="273">
        <f t="shared" si="3"/>
        <v>30.494772085641113</v>
      </c>
    </row>
    <row r="235" spans="1:23" ht="32.25" customHeight="1" x14ac:dyDescent="0.2">
      <c r="A235" s="78"/>
      <c r="B235" s="498" t="s">
        <v>334</v>
      </c>
      <c r="C235" s="498"/>
      <c r="D235" s="498"/>
      <c r="E235" s="498"/>
      <c r="F235" s="498"/>
      <c r="G235" s="498"/>
      <c r="H235" s="498"/>
      <c r="I235" s="498"/>
      <c r="J235" s="498"/>
      <c r="K235" s="498"/>
      <c r="L235" s="499"/>
      <c r="M235" s="242">
        <v>4</v>
      </c>
      <c r="N235" s="242">
        <v>5</v>
      </c>
      <c r="O235" s="243" t="s">
        <v>363</v>
      </c>
      <c r="P235" s="244" t="s">
        <v>41</v>
      </c>
      <c r="Q235" s="500"/>
      <c r="R235" s="501"/>
      <c r="S235" s="245">
        <v>516.03099999999995</v>
      </c>
      <c r="T235" s="246">
        <v>0</v>
      </c>
      <c r="U235" s="164">
        <v>516.03099999999995</v>
      </c>
      <c r="V235" s="273">
        <f>+'11'!AG221</f>
        <v>157.36248000000001</v>
      </c>
      <c r="W235" s="273">
        <f t="shared" si="3"/>
        <v>30.494772600870885</v>
      </c>
    </row>
    <row r="236" spans="1:23" ht="21.75" customHeight="1" x14ac:dyDescent="0.2">
      <c r="A236" s="78"/>
      <c r="B236" s="498" t="s">
        <v>59</v>
      </c>
      <c r="C236" s="498"/>
      <c r="D236" s="498"/>
      <c r="E236" s="498"/>
      <c r="F236" s="498"/>
      <c r="G236" s="498"/>
      <c r="H236" s="498"/>
      <c r="I236" s="498"/>
      <c r="J236" s="498"/>
      <c r="K236" s="498"/>
      <c r="L236" s="499"/>
      <c r="M236" s="242">
        <v>4</v>
      </c>
      <c r="N236" s="242">
        <v>5</v>
      </c>
      <c r="O236" s="243" t="s">
        <v>364</v>
      </c>
      <c r="P236" s="244">
        <v>0</v>
      </c>
      <c r="Q236" s="500"/>
      <c r="R236" s="501"/>
      <c r="S236" s="245">
        <v>520.48699999999997</v>
      </c>
      <c r="T236" s="246">
        <v>0</v>
      </c>
      <c r="U236" s="164">
        <v>520.48699999999997</v>
      </c>
      <c r="V236" s="273">
        <f>+V237+V241</f>
        <v>98.684650000000005</v>
      </c>
      <c r="W236" s="273">
        <f t="shared" si="3"/>
        <v>18.96006048181799</v>
      </c>
    </row>
    <row r="237" spans="1:23" ht="21.75" customHeight="1" x14ac:dyDescent="0.2">
      <c r="A237" s="78"/>
      <c r="B237" s="498" t="s">
        <v>345</v>
      </c>
      <c r="C237" s="498"/>
      <c r="D237" s="498"/>
      <c r="E237" s="498"/>
      <c r="F237" s="498"/>
      <c r="G237" s="498"/>
      <c r="H237" s="498"/>
      <c r="I237" s="498"/>
      <c r="J237" s="498"/>
      <c r="K237" s="498"/>
      <c r="L237" s="499"/>
      <c r="M237" s="242">
        <v>4</v>
      </c>
      <c r="N237" s="242">
        <v>5</v>
      </c>
      <c r="O237" s="243" t="s">
        <v>364</v>
      </c>
      <c r="P237" s="244" t="s">
        <v>24</v>
      </c>
      <c r="Q237" s="500"/>
      <c r="R237" s="501"/>
      <c r="S237" s="245">
        <v>502.24700000000001</v>
      </c>
      <c r="T237" s="246">
        <v>0</v>
      </c>
      <c r="U237" s="164">
        <v>502.24700000000001</v>
      </c>
      <c r="V237" s="273">
        <f>+V238</f>
        <v>94.475650000000002</v>
      </c>
      <c r="W237" s="273">
        <f t="shared" si="3"/>
        <v>18.810595185237542</v>
      </c>
    </row>
    <row r="238" spans="1:23" ht="21.75" customHeight="1" x14ac:dyDescent="0.2">
      <c r="A238" s="78"/>
      <c r="B238" s="498" t="s">
        <v>346</v>
      </c>
      <c r="C238" s="498"/>
      <c r="D238" s="498"/>
      <c r="E238" s="498"/>
      <c r="F238" s="498"/>
      <c r="G238" s="498"/>
      <c r="H238" s="498"/>
      <c r="I238" s="498"/>
      <c r="J238" s="498"/>
      <c r="K238" s="498"/>
      <c r="L238" s="499"/>
      <c r="M238" s="242">
        <v>4</v>
      </c>
      <c r="N238" s="242">
        <v>5</v>
      </c>
      <c r="O238" s="243" t="s">
        <v>364</v>
      </c>
      <c r="P238" s="244" t="s">
        <v>26</v>
      </c>
      <c r="Q238" s="500"/>
      <c r="R238" s="501"/>
      <c r="S238" s="245">
        <v>502.24700000000001</v>
      </c>
      <c r="T238" s="246">
        <v>0</v>
      </c>
      <c r="U238" s="164">
        <v>502.24700000000001</v>
      </c>
      <c r="V238" s="273">
        <f>+V239+V240</f>
        <v>94.475650000000002</v>
      </c>
      <c r="W238" s="273">
        <f t="shared" si="3"/>
        <v>18.810595185237542</v>
      </c>
    </row>
    <row r="239" spans="1:23" ht="21.75" customHeight="1" x14ac:dyDescent="0.2">
      <c r="A239" s="78"/>
      <c r="B239" s="498" t="s">
        <v>347</v>
      </c>
      <c r="C239" s="498"/>
      <c r="D239" s="498"/>
      <c r="E239" s="498"/>
      <c r="F239" s="498"/>
      <c r="G239" s="498"/>
      <c r="H239" s="498"/>
      <c r="I239" s="498"/>
      <c r="J239" s="498"/>
      <c r="K239" s="498"/>
      <c r="L239" s="499"/>
      <c r="M239" s="242">
        <v>4</v>
      </c>
      <c r="N239" s="242">
        <v>5</v>
      </c>
      <c r="O239" s="243" t="s">
        <v>364</v>
      </c>
      <c r="P239" s="244" t="s">
        <v>27</v>
      </c>
      <c r="Q239" s="500"/>
      <c r="R239" s="501"/>
      <c r="S239" s="245">
        <v>147.709</v>
      </c>
      <c r="T239" s="246">
        <v>0</v>
      </c>
      <c r="U239" s="164">
        <v>147.709</v>
      </c>
      <c r="V239" s="273">
        <f>+'11'!AG225</f>
        <v>7.8756500000000003</v>
      </c>
      <c r="W239" s="273">
        <f t="shared" si="3"/>
        <v>5.3318687419182309</v>
      </c>
    </row>
    <row r="240" spans="1:23" ht="12.75" customHeight="1" x14ac:dyDescent="0.2">
      <c r="A240" s="78"/>
      <c r="B240" s="498" t="s">
        <v>348</v>
      </c>
      <c r="C240" s="498"/>
      <c r="D240" s="498"/>
      <c r="E240" s="498"/>
      <c r="F240" s="498"/>
      <c r="G240" s="498"/>
      <c r="H240" s="498"/>
      <c r="I240" s="498"/>
      <c r="J240" s="498"/>
      <c r="K240" s="498"/>
      <c r="L240" s="499"/>
      <c r="M240" s="242">
        <v>4</v>
      </c>
      <c r="N240" s="242">
        <v>5</v>
      </c>
      <c r="O240" s="243" t="s">
        <v>364</v>
      </c>
      <c r="P240" s="244" t="s">
        <v>28</v>
      </c>
      <c r="Q240" s="500"/>
      <c r="R240" s="501"/>
      <c r="S240" s="245">
        <v>354.53800000000001</v>
      </c>
      <c r="T240" s="246">
        <v>0</v>
      </c>
      <c r="U240" s="164">
        <v>354.53800000000001</v>
      </c>
      <c r="V240" s="273">
        <f>+'11'!AG226</f>
        <v>86.6</v>
      </c>
      <c r="W240" s="273">
        <f t="shared" si="3"/>
        <v>24.426154601199304</v>
      </c>
    </row>
    <row r="241" spans="1:23" ht="12.75" customHeight="1" x14ac:dyDescent="0.2">
      <c r="A241" s="78"/>
      <c r="B241" s="498" t="s">
        <v>29</v>
      </c>
      <c r="C241" s="498"/>
      <c r="D241" s="498"/>
      <c r="E241" s="498"/>
      <c r="F241" s="498"/>
      <c r="G241" s="498"/>
      <c r="H241" s="498"/>
      <c r="I241" s="498"/>
      <c r="J241" s="498"/>
      <c r="K241" s="498"/>
      <c r="L241" s="499"/>
      <c r="M241" s="242">
        <v>4</v>
      </c>
      <c r="N241" s="242">
        <v>5</v>
      </c>
      <c r="O241" s="243" t="s">
        <v>364</v>
      </c>
      <c r="P241" s="244" t="s">
        <v>30</v>
      </c>
      <c r="Q241" s="500"/>
      <c r="R241" s="501"/>
      <c r="S241" s="245">
        <v>18.239999999999998</v>
      </c>
      <c r="T241" s="246">
        <v>0</v>
      </c>
      <c r="U241" s="164">
        <v>18.239999999999998</v>
      </c>
      <c r="V241" s="273">
        <f>+V242</f>
        <v>4.2089999999999996</v>
      </c>
      <c r="W241" s="273">
        <f t="shared" si="3"/>
        <v>23.075657894736842</v>
      </c>
    </row>
    <row r="242" spans="1:23" ht="12.75" customHeight="1" x14ac:dyDescent="0.2">
      <c r="A242" s="78"/>
      <c r="B242" s="498" t="s">
        <v>349</v>
      </c>
      <c r="C242" s="498"/>
      <c r="D242" s="498"/>
      <c r="E242" s="498"/>
      <c r="F242" s="498"/>
      <c r="G242" s="498"/>
      <c r="H242" s="498"/>
      <c r="I242" s="498"/>
      <c r="J242" s="498"/>
      <c r="K242" s="498"/>
      <c r="L242" s="499"/>
      <c r="M242" s="242">
        <v>4</v>
      </c>
      <c r="N242" s="242">
        <v>5</v>
      </c>
      <c r="O242" s="243" t="s">
        <v>364</v>
      </c>
      <c r="P242" s="244" t="s">
        <v>31</v>
      </c>
      <c r="Q242" s="500"/>
      <c r="R242" s="501"/>
      <c r="S242" s="245">
        <v>18.239999999999998</v>
      </c>
      <c r="T242" s="246">
        <v>0</v>
      </c>
      <c r="U242" s="164">
        <v>18.239999999999998</v>
      </c>
      <c r="V242" s="273">
        <f>+V243+V244</f>
        <v>4.2089999999999996</v>
      </c>
      <c r="W242" s="273">
        <f t="shared" si="3"/>
        <v>23.075657894736842</v>
      </c>
    </row>
    <row r="243" spans="1:23" ht="21.75" customHeight="1" x14ac:dyDescent="0.2">
      <c r="A243" s="78"/>
      <c r="B243" s="498" t="s">
        <v>32</v>
      </c>
      <c r="C243" s="498"/>
      <c r="D243" s="498"/>
      <c r="E243" s="498"/>
      <c r="F243" s="498"/>
      <c r="G243" s="498"/>
      <c r="H243" s="498"/>
      <c r="I243" s="498"/>
      <c r="J243" s="498"/>
      <c r="K243" s="498"/>
      <c r="L243" s="499"/>
      <c r="M243" s="242">
        <v>4</v>
      </c>
      <c r="N243" s="242">
        <v>5</v>
      </c>
      <c r="O243" s="243" t="s">
        <v>364</v>
      </c>
      <c r="P243" s="244" t="s">
        <v>33</v>
      </c>
      <c r="Q243" s="500"/>
      <c r="R243" s="501"/>
      <c r="S243" s="245">
        <v>14.6</v>
      </c>
      <c r="T243" s="246">
        <v>0</v>
      </c>
      <c r="U243" s="164">
        <v>14.6</v>
      </c>
      <c r="V243" s="273">
        <f>+'11'!AG229</f>
        <v>3.4769999999999999</v>
      </c>
      <c r="W243" s="273">
        <f t="shared" si="3"/>
        <v>23.815068493150683</v>
      </c>
    </row>
    <row r="244" spans="1:23" ht="12.75" customHeight="1" x14ac:dyDescent="0.2">
      <c r="A244" s="78"/>
      <c r="B244" s="498" t="s">
        <v>350</v>
      </c>
      <c r="C244" s="498"/>
      <c r="D244" s="498"/>
      <c r="E244" s="498"/>
      <c r="F244" s="498"/>
      <c r="G244" s="498"/>
      <c r="H244" s="498"/>
      <c r="I244" s="498"/>
      <c r="J244" s="498"/>
      <c r="K244" s="498"/>
      <c r="L244" s="499"/>
      <c r="M244" s="242">
        <v>4</v>
      </c>
      <c r="N244" s="242">
        <v>5</v>
      </c>
      <c r="O244" s="243" t="s">
        <v>364</v>
      </c>
      <c r="P244" s="244" t="s">
        <v>34</v>
      </c>
      <c r="Q244" s="500"/>
      <c r="R244" s="501"/>
      <c r="S244" s="245">
        <v>3.64</v>
      </c>
      <c r="T244" s="246">
        <v>0</v>
      </c>
      <c r="U244" s="164">
        <v>3.64</v>
      </c>
      <c r="V244" s="273">
        <f>+'11'!AG230</f>
        <v>0.73199999999999998</v>
      </c>
      <c r="W244" s="273">
        <f t="shared" si="3"/>
        <v>20.109890109890109</v>
      </c>
    </row>
    <row r="245" spans="1:23" ht="42.75" customHeight="1" x14ac:dyDescent="0.2">
      <c r="A245" s="78"/>
      <c r="B245" s="498" t="s">
        <v>365</v>
      </c>
      <c r="C245" s="498"/>
      <c r="D245" s="498"/>
      <c r="E245" s="498"/>
      <c r="F245" s="498"/>
      <c r="G245" s="498"/>
      <c r="H245" s="498"/>
      <c r="I245" s="498"/>
      <c r="J245" s="498"/>
      <c r="K245" s="498"/>
      <c r="L245" s="499"/>
      <c r="M245" s="242">
        <v>4</v>
      </c>
      <c r="N245" s="242">
        <v>5</v>
      </c>
      <c r="O245" s="243" t="s">
        <v>366</v>
      </c>
      <c r="P245" s="244">
        <v>0</v>
      </c>
      <c r="Q245" s="500"/>
      <c r="R245" s="501"/>
      <c r="S245" s="245">
        <v>21.175999999999998</v>
      </c>
      <c r="T245" s="246">
        <v>0</v>
      </c>
      <c r="U245" s="164">
        <v>21.175999999999998</v>
      </c>
      <c r="V245" s="273">
        <f>+V246</f>
        <v>0</v>
      </c>
      <c r="W245" s="273">
        <f t="shared" si="3"/>
        <v>0</v>
      </c>
    </row>
    <row r="246" spans="1:23" ht="53.25" customHeight="1" x14ac:dyDescent="0.2">
      <c r="A246" s="78"/>
      <c r="B246" s="498" t="s">
        <v>17</v>
      </c>
      <c r="C246" s="498"/>
      <c r="D246" s="498"/>
      <c r="E246" s="498"/>
      <c r="F246" s="498"/>
      <c r="G246" s="498"/>
      <c r="H246" s="498"/>
      <c r="I246" s="498"/>
      <c r="J246" s="498"/>
      <c r="K246" s="498"/>
      <c r="L246" s="499"/>
      <c r="M246" s="242">
        <v>4</v>
      </c>
      <c r="N246" s="242">
        <v>5</v>
      </c>
      <c r="O246" s="243" t="s">
        <v>366</v>
      </c>
      <c r="P246" s="244" t="s">
        <v>18</v>
      </c>
      <c r="Q246" s="500"/>
      <c r="R246" s="501"/>
      <c r="S246" s="245">
        <v>21.175999999999998</v>
      </c>
      <c r="T246" s="246">
        <v>0</v>
      </c>
      <c r="U246" s="164">
        <v>21.175999999999998</v>
      </c>
      <c r="V246" s="273">
        <f>+V247</f>
        <v>0</v>
      </c>
      <c r="W246" s="273">
        <f t="shared" si="3"/>
        <v>0</v>
      </c>
    </row>
    <row r="247" spans="1:23" ht="21.75" customHeight="1" x14ac:dyDescent="0.2">
      <c r="A247" s="78"/>
      <c r="B247" s="498" t="s">
        <v>37</v>
      </c>
      <c r="C247" s="498"/>
      <c r="D247" s="498"/>
      <c r="E247" s="498"/>
      <c r="F247" s="498"/>
      <c r="G247" s="498"/>
      <c r="H247" s="498"/>
      <c r="I247" s="498"/>
      <c r="J247" s="498"/>
      <c r="K247" s="498"/>
      <c r="L247" s="499"/>
      <c r="M247" s="242">
        <v>4</v>
      </c>
      <c r="N247" s="242">
        <v>5</v>
      </c>
      <c r="O247" s="243" t="s">
        <v>366</v>
      </c>
      <c r="P247" s="244" t="s">
        <v>38</v>
      </c>
      <c r="Q247" s="500"/>
      <c r="R247" s="501"/>
      <c r="S247" s="245">
        <v>21.175999999999998</v>
      </c>
      <c r="T247" s="246">
        <v>0</v>
      </c>
      <c r="U247" s="164">
        <v>21.175999999999998</v>
      </c>
      <c r="V247" s="273">
        <f>+V248</f>
        <v>0</v>
      </c>
      <c r="W247" s="273">
        <f t="shared" si="3"/>
        <v>0</v>
      </c>
    </row>
    <row r="248" spans="1:23" ht="32.25" customHeight="1" x14ac:dyDescent="0.2">
      <c r="A248" s="78"/>
      <c r="B248" s="498" t="s">
        <v>351</v>
      </c>
      <c r="C248" s="498"/>
      <c r="D248" s="498"/>
      <c r="E248" s="498"/>
      <c r="F248" s="498"/>
      <c r="G248" s="498"/>
      <c r="H248" s="498"/>
      <c r="I248" s="498"/>
      <c r="J248" s="498"/>
      <c r="K248" s="498"/>
      <c r="L248" s="499"/>
      <c r="M248" s="242">
        <v>4</v>
      </c>
      <c r="N248" s="242">
        <v>5</v>
      </c>
      <c r="O248" s="243" t="s">
        <v>366</v>
      </c>
      <c r="P248" s="244" t="s">
        <v>40</v>
      </c>
      <c r="Q248" s="500"/>
      <c r="R248" s="501"/>
      <c r="S248" s="245">
        <v>21.175999999999998</v>
      </c>
      <c r="T248" s="246">
        <v>0</v>
      </c>
      <c r="U248" s="164">
        <v>21.175999999999998</v>
      </c>
      <c r="V248" s="273"/>
      <c r="W248" s="273">
        <f t="shared" si="3"/>
        <v>0</v>
      </c>
    </row>
    <row r="249" spans="1:23" ht="12.75" customHeight="1" x14ac:dyDescent="0.25">
      <c r="A249" s="78"/>
      <c r="B249" s="502" t="s">
        <v>90</v>
      </c>
      <c r="C249" s="502"/>
      <c r="D249" s="502"/>
      <c r="E249" s="502"/>
      <c r="F249" s="502"/>
      <c r="G249" s="502"/>
      <c r="H249" s="502"/>
      <c r="I249" s="502"/>
      <c r="J249" s="502"/>
      <c r="K249" s="502"/>
      <c r="L249" s="503"/>
      <c r="M249" s="237">
        <v>4</v>
      </c>
      <c r="N249" s="237">
        <v>9</v>
      </c>
      <c r="O249" s="238">
        <v>0</v>
      </c>
      <c r="P249" s="239">
        <v>0</v>
      </c>
      <c r="Q249" s="504"/>
      <c r="R249" s="505"/>
      <c r="S249" s="240">
        <v>1076</v>
      </c>
      <c r="T249" s="241">
        <v>0</v>
      </c>
      <c r="U249" s="274">
        <v>1076</v>
      </c>
      <c r="V249" s="273">
        <f t="shared" ref="V249:V254" si="5">+V250</f>
        <v>0</v>
      </c>
      <c r="W249" s="273">
        <f t="shared" si="3"/>
        <v>0</v>
      </c>
    </row>
    <row r="250" spans="1:23" ht="21.75" customHeight="1" x14ac:dyDescent="0.2">
      <c r="A250" s="78"/>
      <c r="B250" s="498" t="s">
        <v>91</v>
      </c>
      <c r="C250" s="498"/>
      <c r="D250" s="498"/>
      <c r="E250" s="498"/>
      <c r="F250" s="498"/>
      <c r="G250" s="498"/>
      <c r="H250" s="498"/>
      <c r="I250" s="498"/>
      <c r="J250" s="498"/>
      <c r="K250" s="498"/>
      <c r="L250" s="499"/>
      <c r="M250" s="242">
        <v>4</v>
      </c>
      <c r="N250" s="242">
        <v>9</v>
      </c>
      <c r="O250" s="243" t="s">
        <v>421</v>
      </c>
      <c r="P250" s="244">
        <v>0</v>
      </c>
      <c r="Q250" s="500"/>
      <c r="R250" s="501"/>
      <c r="S250" s="245">
        <v>1076</v>
      </c>
      <c r="T250" s="246">
        <v>0</v>
      </c>
      <c r="U250" s="164">
        <v>1076</v>
      </c>
      <c r="V250" s="273">
        <f t="shared" si="5"/>
        <v>0</v>
      </c>
      <c r="W250" s="273">
        <f t="shared" si="3"/>
        <v>0</v>
      </c>
    </row>
    <row r="251" spans="1:23" ht="21.75" customHeight="1" x14ac:dyDescent="0.2">
      <c r="A251" s="78"/>
      <c r="B251" s="498" t="s">
        <v>301</v>
      </c>
      <c r="C251" s="498"/>
      <c r="D251" s="498"/>
      <c r="E251" s="498"/>
      <c r="F251" s="498"/>
      <c r="G251" s="498"/>
      <c r="H251" s="498"/>
      <c r="I251" s="498"/>
      <c r="J251" s="498"/>
      <c r="K251" s="498"/>
      <c r="L251" s="499"/>
      <c r="M251" s="242">
        <v>4</v>
      </c>
      <c r="N251" s="242">
        <v>9</v>
      </c>
      <c r="O251" s="243" t="s">
        <v>422</v>
      </c>
      <c r="P251" s="244">
        <v>0</v>
      </c>
      <c r="Q251" s="500"/>
      <c r="R251" s="501"/>
      <c r="S251" s="245">
        <v>1076</v>
      </c>
      <c r="T251" s="246">
        <v>0</v>
      </c>
      <c r="U251" s="164">
        <v>1076</v>
      </c>
      <c r="V251" s="273">
        <f t="shared" si="5"/>
        <v>0</v>
      </c>
      <c r="W251" s="273">
        <f t="shared" si="3"/>
        <v>0</v>
      </c>
    </row>
    <row r="252" spans="1:23" ht="42.75" customHeight="1" x14ac:dyDescent="0.2">
      <c r="A252" s="78"/>
      <c r="B252" s="498" t="s">
        <v>92</v>
      </c>
      <c r="C252" s="498"/>
      <c r="D252" s="498"/>
      <c r="E252" s="498"/>
      <c r="F252" s="498"/>
      <c r="G252" s="498"/>
      <c r="H252" s="498"/>
      <c r="I252" s="498"/>
      <c r="J252" s="498"/>
      <c r="K252" s="498"/>
      <c r="L252" s="499"/>
      <c r="M252" s="242">
        <v>4</v>
      </c>
      <c r="N252" s="242">
        <v>9</v>
      </c>
      <c r="O252" s="243" t="s">
        <v>423</v>
      </c>
      <c r="P252" s="244">
        <v>0</v>
      </c>
      <c r="Q252" s="500"/>
      <c r="R252" s="501"/>
      <c r="S252" s="245">
        <v>1076</v>
      </c>
      <c r="T252" s="246">
        <v>0</v>
      </c>
      <c r="U252" s="164">
        <v>1076</v>
      </c>
      <c r="V252" s="273">
        <f t="shared" si="5"/>
        <v>0</v>
      </c>
      <c r="W252" s="273">
        <f t="shared" si="3"/>
        <v>0</v>
      </c>
    </row>
    <row r="253" spans="1:23" ht="21.75" customHeight="1" x14ac:dyDescent="0.2">
      <c r="A253" s="78"/>
      <c r="B253" s="498" t="s">
        <v>345</v>
      </c>
      <c r="C253" s="498"/>
      <c r="D253" s="498"/>
      <c r="E253" s="498"/>
      <c r="F253" s="498"/>
      <c r="G253" s="498"/>
      <c r="H253" s="498"/>
      <c r="I253" s="498"/>
      <c r="J253" s="498"/>
      <c r="K253" s="498"/>
      <c r="L253" s="499"/>
      <c r="M253" s="242">
        <v>4</v>
      </c>
      <c r="N253" s="242">
        <v>9</v>
      </c>
      <c r="O253" s="243" t="s">
        <v>423</v>
      </c>
      <c r="P253" s="244" t="s">
        <v>24</v>
      </c>
      <c r="Q253" s="500"/>
      <c r="R253" s="501"/>
      <c r="S253" s="245">
        <v>1076</v>
      </c>
      <c r="T253" s="246">
        <v>0</v>
      </c>
      <c r="U253" s="164">
        <v>1076</v>
      </c>
      <c r="V253" s="273">
        <f t="shared" si="5"/>
        <v>0</v>
      </c>
      <c r="W253" s="273">
        <f t="shared" si="3"/>
        <v>0</v>
      </c>
    </row>
    <row r="254" spans="1:23" ht="21.75" customHeight="1" x14ac:dyDescent="0.2">
      <c r="A254" s="78"/>
      <c r="B254" s="498" t="s">
        <v>346</v>
      </c>
      <c r="C254" s="498"/>
      <c r="D254" s="498"/>
      <c r="E254" s="498"/>
      <c r="F254" s="498"/>
      <c r="G254" s="498"/>
      <c r="H254" s="498"/>
      <c r="I254" s="498"/>
      <c r="J254" s="498"/>
      <c r="K254" s="498"/>
      <c r="L254" s="499"/>
      <c r="M254" s="242">
        <v>4</v>
      </c>
      <c r="N254" s="242">
        <v>9</v>
      </c>
      <c r="O254" s="243" t="s">
        <v>423</v>
      </c>
      <c r="P254" s="244" t="s">
        <v>26</v>
      </c>
      <c r="Q254" s="500"/>
      <c r="R254" s="501"/>
      <c r="S254" s="245">
        <v>1076</v>
      </c>
      <c r="T254" s="246">
        <v>0</v>
      </c>
      <c r="U254" s="164">
        <v>1076</v>
      </c>
      <c r="V254" s="273">
        <f t="shared" si="5"/>
        <v>0</v>
      </c>
      <c r="W254" s="273">
        <f t="shared" si="3"/>
        <v>0</v>
      </c>
    </row>
    <row r="255" spans="1:23" ht="12.75" customHeight="1" x14ac:dyDescent="0.2">
      <c r="A255" s="78"/>
      <c r="B255" s="498" t="s">
        <v>348</v>
      </c>
      <c r="C255" s="498"/>
      <c r="D255" s="498"/>
      <c r="E255" s="498"/>
      <c r="F255" s="498"/>
      <c r="G255" s="498"/>
      <c r="H255" s="498"/>
      <c r="I255" s="498"/>
      <c r="J255" s="498"/>
      <c r="K255" s="498"/>
      <c r="L255" s="499"/>
      <c r="M255" s="242">
        <v>4</v>
      </c>
      <c r="N255" s="242">
        <v>9</v>
      </c>
      <c r="O255" s="243" t="s">
        <v>423</v>
      </c>
      <c r="P255" s="244" t="s">
        <v>28</v>
      </c>
      <c r="Q255" s="500"/>
      <c r="R255" s="501"/>
      <c r="S255" s="245">
        <v>1076</v>
      </c>
      <c r="T255" s="246">
        <v>0</v>
      </c>
      <c r="U255" s="164">
        <v>1076</v>
      </c>
      <c r="V255" s="273"/>
      <c r="W255" s="273">
        <f t="shared" si="3"/>
        <v>0</v>
      </c>
    </row>
    <row r="256" spans="1:23" ht="20.25" customHeight="1" x14ac:dyDescent="0.25">
      <c r="A256" s="78"/>
      <c r="B256" s="502" t="s">
        <v>424</v>
      </c>
      <c r="C256" s="502"/>
      <c r="D256" s="502"/>
      <c r="E256" s="502"/>
      <c r="F256" s="502"/>
      <c r="G256" s="502"/>
      <c r="H256" s="502"/>
      <c r="I256" s="502"/>
      <c r="J256" s="502"/>
      <c r="K256" s="502"/>
      <c r="L256" s="503"/>
      <c r="M256" s="237">
        <v>4</v>
      </c>
      <c r="N256" s="237">
        <v>12</v>
      </c>
      <c r="O256" s="238">
        <v>0</v>
      </c>
      <c r="P256" s="239">
        <v>0</v>
      </c>
      <c r="Q256" s="504"/>
      <c r="R256" s="505"/>
      <c r="S256" s="240">
        <v>3052.3220000000001</v>
      </c>
      <c r="T256" s="241">
        <v>0</v>
      </c>
      <c r="U256" s="274">
        <v>3052.3220000000001</v>
      </c>
      <c r="V256" s="273">
        <f>+V257+V263+V269</f>
        <v>338.48631999999998</v>
      </c>
      <c r="W256" s="273">
        <f t="shared" si="3"/>
        <v>11.089469590691937</v>
      </c>
    </row>
    <row r="257" spans="1:23" ht="32.25" customHeight="1" x14ac:dyDescent="0.2">
      <c r="A257" s="78"/>
      <c r="B257" s="498" t="s">
        <v>93</v>
      </c>
      <c r="C257" s="498"/>
      <c r="D257" s="498"/>
      <c r="E257" s="498"/>
      <c r="F257" s="498"/>
      <c r="G257" s="498"/>
      <c r="H257" s="498"/>
      <c r="I257" s="498"/>
      <c r="J257" s="498"/>
      <c r="K257" s="498"/>
      <c r="L257" s="499"/>
      <c r="M257" s="242">
        <v>4</v>
      </c>
      <c r="N257" s="242">
        <v>12</v>
      </c>
      <c r="O257" s="243" t="s">
        <v>425</v>
      </c>
      <c r="P257" s="244">
        <v>0</v>
      </c>
      <c r="Q257" s="500"/>
      <c r="R257" s="501"/>
      <c r="S257" s="245">
        <v>350</v>
      </c>
      <c r="T257" s="246">
        <v>0</v>
      </c>
      <c r="U257" s="164">
        <v>350</v>
      </c>
      <c r="V257" s="273">
        <f>+V258</f>
        <v>248</v>
      </c>
      <c r="W257" s="273">
        <f t="shared" si="3"/>
        <v>70.857142857142847</v>
      </c>
    </row>
    <row r="258" spans="1:23" ht="21.75" customHeight="1" x14ac:dyDescent="0.2">
      <c r="A258" s="78"/>
      <c r="B258" s="498" t="s">
        <v>94</v>
      </c>
      <c r="C258" s="498"/>
      <c r="D258" s="498"/>
      <c r="E258" s="498"/>
      <c r="F258" s="498"/>
      <c r="G258" s="498"/>
      <c r="H258" s="498"/>
      <c r="I258" s="498"/>
      <c r="J258" s="498"/>
      <c r="K258" s="498"/>
      <c r="L258" s="499"/>
      <c r="M258" s="242">
        <v>4</v>
      </c>
      <c r="N258" s="242">
        <v>12</v>
      </c>
      <c r="O258" s="243" t="s">
        <v>426</v>
      </c>
      <c r="P258" s="244">
        <v>0</v>
      </c>
      <c r="Q258" s="500"/>
      <c r="R258" s="501"/>
      <c r="S258" s="245">
        <v>350</v>
      </c>
      <c r="T258" s="246">
        <v>0</v>
      </c>
      <c r="U258" s="164">
        <v>350</v>
      </c>
      <c r="V258" s="273">
        <f>+V259</f>
        <v>248</v>
      </c>
      <c r="W258" s="273">
        <f t="shared" si="3"/>
        <v>70.857142857142847</v>
      </c>
    </row>
    <row r="259" spans="1:23" ht="21.75" customHeight="1" x14ac:dyDescent="0.2">
      <c r="A259" s="78"/>
      <c r="B259" s="498" t="s">
        <v>95</v>
      </c>
      <c r="C259" s="498"/>
      <c r="D259" s="498"/>
      <c r="E259" s="498"/>
      <c r="F259" s="498"/>
      <c r="G259" s="498"/>
      <c r="H259" s="498"/>
      <c r="I259" s="498"/>
      <c r="J259" s="498"/>
      <c r="K259" s="498"/>
      <c r="L259" s="499"/>
      <c r="M259" s="242">
        <v>4</v>
      </c>
      <c r="N259" s="242">
        <v>12</v>
      </c>
      <c r="O259" s="243" t="s">
        <v>427</v>
      </c>
      <c r="P259" s="244">
        <v>0</v>
      </c>
      <c r="Q259" s="500"/>
      <c r="R259" s="501"/>
      <c r="S259" s="245">
        <v>350</v>
      </c>
      <c r="T259" s="246">
        <v>0</v>
      </c>
      <c r="U259" s="164">
        <v>350</v>
      </c>
      <c r="V259" s="273">
        <f>+V260</f>
        <v>248</v>
      </c>
      <c r="W259" s="273">
        <f t="shared" si="3"/>
        <v>70.857142857142847</v>
      </c>
    </row>
    <row r="260" spans="1:23" ht="21.75" customHeight="1" x14ac:dyDescent="0.2">
      <c r="A260" s="78"/>
      <c r="B260" s="498" t="s">
        <v>345</v>
      </c>
      <c r="C260" s="498"/>
      <c r="D260" s="498"/>
      <c r="E260" s="498"/>
      <c r="F260" s="498"/>
      <c r="G260" s="498"/>
      <c r="H260" s="498"/>
      <c r="I260" s="498"/>
      <c r="J260" s="498"/>
      <c r="K260" s="498"/>
      <c r="L260" s="499"/>
      <c r="M260" s="242">
        <v>4</v>
      </c>
      <c r="N260" s="242">
        <v>12</v>
      </c>
      <c r="O260" s="243" t="s">
        <v>427</v>
      </c>
      <c r="P260" s="244" t="s">
        <v>24</v>
      </c>
      <c r="Q260" s="500"/>
      <c r="R260" s="501"/>
      <c r="S260" s="245">
        <v>350</v>
      </c>
      <c r="T260" s="246">
        <v>0</v>
      </c>
      <c r="U260" s="164">
        <v>350</v>
      </c>
      <c r="V260" s="273">
        <f>+V261</f>
        <v>248</v>
      </c>
      <c r="W260" s="273">
        <f t="shared" si="3"/>
        <v>70.857142857142847</v>
      </c>
    </row>
    <row r="261" spans="1:23" ht="21.75" customHeight="1" x14ac:dyDescent="0.2">
      <c r="A261" s="78"/>
      <c r="B261" s="498" t="s">
        <v>346</v>
      </c>
      <c r="C261" s="498"/>
      <c r="D261" s="498"/>
      <c r="E261" s="498"/>
      <c r="F261" s="498"/>
      <c r="G261" s="498"/>
      <c r="H261" s="498"/>
      <c r="I261" s="498"/>
      <c r="J261" s="498"/>
      <c r="K261" s="498"/>
      <c r="L261" s="499"/>
      <c r="M261" s="242">
        <v>4</v>
      </c>
      <c r="N261" s="242">
        <v>12</v>
      </c>
      <c r="O261" s="243" t="s">
        <v>427</v>
      </c>
      <c r="P261" s="244" t="s">
        <v>26</v>
      </c>
      <c r="Q261" s="500"/>
      <c r="R261" s="501"/>
      <c r="S261" s="245">
        <v>350</v>
      </c>
      <c r="T261" s="246">
        <v>0</v>
      </c>
      <c r="U261" s="164">
        <v>350</v>
      </c>
      <c r="V261" s="273">
        <f>+V262</f>
        <v>248</v>
      </c>
      <c r="W261" s="273">
        <f t="shared" si="3"/>
        <v>70.857142857142847</v>
      </c>
    </row>
    <row r="262" spans="1:23" ht="12.75" customHeight="1" x14ac:dyDescent="0.2">
      <c r="A262" s="78"/>
      <c r="B262" s="498" t="s">
        <v>348</v>
      </c>
      <c r="C262" s="498"/>
      <c r="D262" s="498"/>
      <c r="E262" s="498"/>
      <c r="F262" s="498"/>
      <c r="G262" s="498"/>
      <c r="H262" s="498"/>
      <c r="I262" s="498"/>
      <c r="J262" s="498"/>
      <c r="K262" s="498"/>
      <c r="L262" s="499"/>
      <c r="M262" s="242">
        <v>4</v>
      </c>
      <c r="N262" s="242">
        <v>12</v>
      </c>
      <c r="O262" s="243" t="s">
        <v>427</v>
      </c>
      <c r="P262" s="244" t="s">
        <v>28</v>
      </c>
      <c r="Q262" s="500"/>
      <c r="R262" s="501"/>
      <c r="S262" s="245">
        <v>350</v>
      </c>
      <c r="T262" s="246">
        <v>0</v>
      </c>
      <c r="U262" s="164">
        <v>350</v>
      </c>
      <c r="V262" s="273">
        <f>+'11'!AG512</f>
        <v>248</v>
      </c>
      <c r="W262" s="273">
        <f t="shared" si="3"/>
        <v>70.857142857142847</v>
      </c>
    </row>
    <row r="263" spans="1:23" ht="32.25" customHeight="1" x14ac:dyDescent="0.2">
      <c r="A263" s="78"/>
      <c r="B263" s="498" t="s">
        <v>93</v>
      </c>
      <c r="C263" s="498"/>
      <c r="D263" s="498"/>
      <c r="E263" s="498"/>
      <c r="F263" s="498"/>
      <c r="G263" s="498"/>
      <c r="H263" s="498"/>
      <c r="I263" s="498"/>
      <c r="J263" s="498"/>
      <c r="K263" s="498"/>
      <c r="L263" s="499"/>
      <c r="M263" s="242">
        <v>4</v>
      </c>
      <c r="N263" s="242">
        <v>12</v>
      </c>
      <c r="O263" s="243" t="s">
        <v>425</v>
      </c>
      <c r="P263" s="244">
        <v>0</v>
      </c>
      <c r="Q263" s="500"/>
      <c r="R263" s="501"/>
      <c r="S263" s="245">
        <v>2325.1</v>
      </c>
      <c r="T263" s="246">
        <v>0</v>
      </c>
      <c r="U263" s="164">
        <v>2325.1</v>
      </c>
      <c r="V263" s="273">
        <f>+V264</f>
        <v>0</v>
      </c>
      <c r="W263" s="273">
        <f t="shared" si="3"/>
        <v>0</v>
      </c>
    </row>
    <row r="264" spans="1:23" ht="21.75" customHeight="1" x14ac:dyDescent="0.2">
      <c r="A264" s="78"/>
      <c r="B264" s="498" t="s">
        <v>94</v>
      </c>
      <c r="C264" s="498"/>
      <c r="D264" s="498"/>
      <c r="E264" s="498"/>
      <c r="F264" s="498"/>
      <c r="G264" s="498"/>
      <c r="H264" s="498"/>
      <c r="I264" s="498"/>
      <c r="J264" s="498"/>
      <c r="K264" s="498"/>
      <c r="L264" s="499"/>
      <c r="M264" s="242">
        <v>4</v>
      </c>
      <c r="N264" s="242">
        <v>12</v>
      </c>
      <c r="O264" s="243" t="s">
        <v>426</v>
      </c>
      <c r="P264" s="244">
        <v>0</v>
      </c>
      <c r="Q264" s="500"/>
      <c r="R264" s="501"/>
      <c r="S264" s="245">
        <v>2325.1</v>
      </c>
      <c r="T264" s="246">
        <v>0</v>
      </c>
      <c r="U264" s="164">
        <v>2325.1</v>
      </c>
      <c r="V264" s="273">
        <f>+V265</f>
        <v>0</v>
      </c>
      <c r="W264" s="273">
        <f t="shared" si="3"/>
        <v>0</v>
      </c>
    </row>
    <row r="265" spans="1:23" ht="12.75" customHeight="1" x14ac:dyDescent="0.2">
      <c r="A265" s="78"/>
      <c r="B265" s="498" t="s">
        <v>559</v>
      </c>
      <c r="C265" s="498"/>
      <c r="D265" s="498"/>
      <c r="E265" s="498"/>
      <c r="F265" s="498"/>
      <c r="G265" s="498"/>
      <c r="H265" s="498"/>
      <c r="I265" s="498"/>
      <c r="J265" s="498"/>
      <c r="K265" s="498"/>
      <c r="L265" s="499"/>
      <c r="M265" s="242">
        <v>4</v>
      </c>
      <c r="N265" s="242">
        <v>12</v>
      </c>
      <c r="O265" s="243" t="s">
        <v>560</v>
      </c>
      <c r="P265" s="244">
        <v>0</v>
      </c>
      <c r="Q265" s="500"/>
      <c r="R265" s="501"/>
      <c r="S265" s="245">
        <v>2325.1</v>
      </c>
      <c r="T265" s="246">
        <v>0</v>
      </c>
      <c r="U265" s="164">
        <v>2325.1</v>
      </c>
      <c r="V265" s="273">
        <f>+V266</f>
        <v>0</v>
      </c>
      <c r="W265" s="273">
        <f t="shared" si="3"/>
        <v>0</v>
      </c>
    </row>
    <row r="266" spans="1:23" ht="21.75" customHeight="1" x14ac:dyDescent="0.2">
      <c r="A266" s="78"/>
      <c r="B266" s="498" t="s">
        <v>345</v>
      </c>
      <c r="C266" s="498"/>
      <c r="D266" s="498"/>
      <c r="E266" s="498"/>
      <c r="F266" s="498"/>
      <c r="G266" s="498"/>
      <c r="H266" s="498"/>
      <c r="I266" s="498"/>
      <c r="J266" s="498"/>
      <c r="K266" s="498"/>
      <c r="L266" s="499"/>
      <c r="M266" s="242">
        <v>4</v>
      </c>
      <c r="N266" s="242">
        <v>12</v>
      </c>
      <c r="O266" s="243" t="s">
        <v>560</v>
      </c>
      <c r="P266" s="244" t="s">
        <v>24</v>
      </c>
      <c r="Q266" s="500"/>
      <c r="R266" s="501"/>
      <c r="S266" s="245">
        <v>2325.1</v>
      </c>
      <c r="T266" s="246">
        <v>0</v>
      </c>
      <c r="U266" s="164">
        <v>2325.1</v>
      </c>
      <c r="V266" s="273">
        <f>+V267</f>
        <v>0</v>
      </c>
      <c r="W266" s="273">
        <f t="shared" si="3"/>
        <v>0</v>
      </c>
    </row>
    <row r="267" spans="1:23" ht="21.75" customHeight="1" x14ac:dyDescent="0.2">
      <c r="A267" s="78"/>
      <c r="B267" s="498" t="s">
        <v>346</v>
      </c>
      <c r="C267" s="498"/>
      <c r="D267" s="498"/>
      <c r="E267" s="498"/>
      <c r="F267" s="498"/>
      <c r="G267" s="498"/>
      <c r="H267" s="498"/>
      <c r="I267" s="498"/>
      <c r="J267" s="498"/>
      <c r="K267" s="498"/>
      <c r="L267" s="499"/>
      <c r="M267" s="242">
        <v>4</v>
      </c>
      <c r="N267" s="242">
        <v>12</v>
      </c>
      <c r="O267" s="243" t="s">
        <v>560</v>
      </c>
      <c r="P267" s="244" t="s">
        <v>26</v>
      </c>
      <c r="Q267" s="500"/>
      <c r="R267" s="501"/>
      <c r="S267" s="245">
        <v>2325.1</v>
      </c>
      <c r="T267" s="246">
        <v>0</v>
      </c>
      <c r="U267" s="164">
        <v>2325.1</v>
      </c>
      <c r="V267" s="273">
        <f>+V268</f>
        <v>0</v>
      </c>
      <c r="W267" s="273">
        <f t="shared" si="3"/>
        <v>0</v>
      </c>
    </row>
    <row r="268" spans="1:23" ht="12.75" customHeight="1" x14ac:dyDescent="0.2">
      <c r="A268" s="78"/>
      <c r="B268" s="498" t="s">
        <v>348</v>
      </c>
      <c r="C268" s="498"/>
      <c r="D268" s="498"/>
      <c r="E268" s="498"/>
      <c r="F268" s="498"/>
      <c r="G268" s="498"/>
      <c r="H268" s="498"/>
      <c r="I268" s="498"/>
      <c r="J268" s="498"/>
      <c r="K268" s="498"/>
      <c r="L268" s="499"/>
      <c r="M268" s="242">
        <v>4</v>
      </c>
      <c r="N268" s="242">
        <v>12</v>
      </c>
      <c r="O268" s="243" t="s">
        <v>560</v>
      </c>
      <c r="P268" s="244" t="s">
        <v>28</v>
      </c>
      <c r="Q268" s="500"/>
      <c r="R268" s="501"/>
      <c r="S268" s="245">
        <v>2325.1</v>
      </c>
      <c r="T268" s="246">
        <v>0</v>
      </c>
      <c r="U268" s="164">
        <v>2325.1</v>
      </c>
      <c r="V268" s="273"/>
      <c r="W268" s="273">
        <f t="shared" si="3"/>
        <v>0</v>
      </c>
    </row>
    <row r="269" spans="1:23" ht="21.75" customHeight="1" x14ac:dyDescent="0.2">
      <c r="A269" s="78"/>
      <c r="B269" s="498" t="s">
        <v>59</v>
      </c>
      <c r="C269" s="498"/>
      <c r="D269" s="498"/>
      <c r="E269" s="498"/>
      <c r="F269" s="498"/>
      <c r="G269" s="498"/>
      <c r="H269" s="498"/>
      <c r="I269" s="498"/>
      <c r="J269" s="498"/>
      <c r="K269" s="498"/>
      <c r="L269" s="499"/>
      <c r="M269" s="242">
        <v>4</v>
      </c>
      <c r="N269" s="242">
        <v>12</v>
      </c>
      <c r="O269" s="243" t="s">
        <v>361</v>
      </c>
      <c r="P269" s="244">
        <v>0</v>
      </c>
      <c r="Q269" s="500"/>
      <c r="R269" s="501"/>
      <c r="S269" s="245">
        <v>377.22199999999998</v>
      </c>
      <c r="T269" s="246">
        <v>0</v>
      </c>
      <c r="U269" s="164">
        <v>377.22199999999998</v>
      </c>
      <c r="V269" s="273">
        <f>+V270</f>
        <v>90.486320000000006</v>
      </c>
      <c r="W269" s="273">
        <f t="shared" si="3"/>
        <v>23.987551097231872</v>
      </c>
    </row>
    <row r="270" spans="1:23" ht="21.75" customHeight="1" x14ac:dyDescent="0.2">
      <c r="A270" s="78"/>
      <c r="B270" s="498" t="s">
        <v>395</v>
      </c>
      <c r="C270" s="498"/>
      <c r="D270" s="498"/>
      <c r="E270" s="498"/>
      <c r="F270" s="498"/>
      <c r="G270" s="498"/>
      <c r="H270" s="498"/>
      <c r="I270" s="498"/>
      <c r="J270" s="498"/>
      <c r="K270" s="498"/>
      <c r="L270" s="499"/>
      <c r="M270" s="242">
        <v>4</v>
      </c>
      <c r="N270" s="242">
        <v>12</v>
      </c>
      <c r="O270" s="243" t="s">
        <v>396</v>
      </c>
      <c r="P270" s="244">
        <v>0</v>
      </c>
      <c r="Q270" s="500"/>
      <c r="R270" s="501"/>
      <c r="S270" s="245">
        <v>377.22199999999998</v>
      </c>
      <c r="T270" s="246">
        <v>0</v>
      </c>
      <c r="U270" s="164">
        <v>377.22199999999998</v>
      </c>
      <c r="V270" s="273">
        <f>+V271</f>
        <v>90.486320000000006</v>
      </c>
      <c r="W270" s="273">
        <f t="shared" si="3"/>
        <v>23.987551097231872</v>
      </c>
    </row>
    <row r="271" spans="1:23" ht="53.25" customHeight="1" x14ac:dyDescent="0.2">
      <c r="A271" s="78"/>
      <c r="B271" s="498" t="s">
        <v>17</v>
      </c>
      <c r="C271" s="498"/>
      <c r="D271" s="498"/>
      <c r="E271" s="498"/>
      <c r="F271" s="498"/>
      <c r="G271" s="498"/>
      <c r="H271" s="498"/>
      <c r="I271" s="498"/>
      <c r="J271" s="498"/>
      <c r="K271" s="498"/>
      <c r="L271" s="499"/>
      <c r="M271" s="242">
        <v>4</v>
      </c>
      <c r="N271" s="242">
        <v>12</v>
      </c>
      <c r="O271" s="243" t="s">
        <v>396</v>
      </c>
      <c r="P271" s="244" t="s">
        <v>18</v>
      </c>
      <c r="Q271" s="500"/>
      <c r="R271" s="501"/>
      <c r="S271" s="245">
        <v>377.22199999999998</v>
      </c>
      <c r="T271" s="246">
        <v>0</v>
      </c>
      <c r="U271" s="164">
        <v>377.22199999999998</v>
      </c>
      <c r="V271" s="273">
        <f>+V272</f>
        <v>90.486320000000006</v>
      </c>
      <c r="W271" s="273">
        <f t="shared" si="3"/>
        <v>23.987551097231872</v>
      </c>
    </row>
    <row r="272" spans="1:23" ht="21.75" customHeight="1" x14ac:dyDescent="0.2">
      <c r="A272" s="78"/>
      <c r="B272" s="498" t="s">
        <v>37</v>
      </c>
      <c r="C272" s="498"/>
      <c r="D272" s="498"/>
      <c r="E272" s="498"/>
      <c r="F272" s="498"/>
      <c r="G272" s="498"/>
      <c r="H272" s="498"/>
      <c r="I272" s="498"/>
      <c r="J272" s="498"/>
      <c r="K272" s="498"/>
      <c r="L272" s="499"/>
      <c r="M272" s="242">
        <v>4</v>
      </c>
      <c r="N272" s="242">
        <v>12</v>
      </c>
      <c r="O272" s="243" t="s">
        <v>396</v>
      </c>
      <c r="P272" s="244" t="s">
        <v>38</v>
      </c>
      <c r="Q272" s="500"/>
      <c r="R272" s="501"/>
      <c r="S272" s="245">
        <v>377.22199999999998</v>
      </c>
      <c r="T272" s="246">
        <v>0</v>
      </c>
      <c r="U272" s="164">
        <v>377.22199999999998</v>
      </c>
      <c r="V272" s="273">
        <f>+V273+V274</f>
        <v>90.486320000000006</v>
      </c>
      <c r="W272" s="273">
        <f t="shared" si="3"/>
        <v>23.987551097231872</v>
      </c>
    </row>
    <row r="273" spans="1:24" ht="21.75" customHeight="1" x14ac:dyDescent="0.2">
      <c r="A273" s="78"/>
      <c r="B273" s="498" t="s">
        <v>333</v>
      </c>
      <c r="C273" s="498"/>
      <c r="D273" s="498"/>
      <c r="E273" s="498"/>
      <c r="F273" s="498"/>
      <c r="G273" s="498"/>
      <c r="H273" s="498"/>
      <c r="I273" s="498"/>
      <c r="J273" s="498"/>
      <c r="K273" s="498"/>
      <c r="L273" s="499"/>
      <c r="M273" s="242">
        <v>4</v>
      </c>
      <c r="N273" s="242">
        <v>12</v>
      </c>
      <c r="O273" s="243" t="s">
        <v>396</v>
      </c>
      <c r="P273" s="244" t="s">
        <v>39</v>
      </c>
      <c r="Q273" s="500"/>
      <c r="R273" s="501"/>
      <c r="S273" s="245">
        <v>289.72500000000002</v>
      </c>
      <c r="T273" s="246">
        <v>0</v>
      </c>
      <c r="U273" s="164">
        <v>289.72500000000002</v>
      </c>
      <c r="V273" s="273">
        <f>+'11'!AG240</f>
        <v>69.49794</v>
      </c>
      <c r="W273" s="273">
        <f t="shared" si="3"/>
        <v>23.987553714729483</v>
      </c>
    </row>
    <row r="274" spans="1:24" ht="32.25" customHeight="1" x14ac:dyDescent="0.2">
      <c r="A274" s="78"/>
      <c r="B274" s="498" t="s">
        <v>334</v>
      </c>
      <c r="C274" s="498"/>
      <c r="D274" s="498"/>
      <c r="E274" s="498"/>
      <c r="F274" s="498"/>
      <c r="G274" s="498"/>
      <c r="H274" s="498"/>
      <c r="I274" s="498"/>
      <c r="J274" s="498"/>
      <c r="K274" s="498"/>
      <c r="L274" s="499"/>
      <c r="M274" s="242">
        <v>4</v>
      </c>
      <c r="N274" s="242">
        <v>12</v>
      </c>
      <c r="O274" s="243" t="s">
        <v>396</v>
      </c>
      <c r="P274" s="244" t="s">
        <v>41</v>
      </c>
      <c r="Q274" s="500"/>
      <c r="R274" s="501"/>
      <c r="S274" s="245">
        <v>87.497</v>
      </c>
      <c r="T274" s="246">
        <v>0</v>
      </c>
      <c r="U274" s="164">
        <v>87.497</v>
      </c>
      <c r="V274" s="273">
        <f>+'11'!AG241</f>
        <v>20.988379999999999</v>
      </c>
      <c r="W274" s="273">
        <f t="shared" si="3"/>
        <v>23.987542430026171</v>
      </c>
    </row>
    <row r="275" spans="1:24" ht="12.75" customHeight="1" x14ac:dyDescent="0.2">
      <c r="A275" s="78"/>
      <c r="B275" s="510" t="s">
        <v>428</v>
      </c>
      <c r="C275" s="510"/>
      <c r="D275" s="510"/>
      <c r="E275" s="510"/>
      <c r="F275" s="510"/>
      <c r="G275" s="510"/>
      <c r="H275" s="510"/>
      <c r="I275" s="510"/>
      <c r="J275" s="510"/>
      <c r="K275" s="510"/>
      <c r="L275" s="511"/>
      <c r="M275" s="232">
        <v>5</v>
      </c>
      <c r="N275" s="232">
        <v>0</v>
      </c>
      <c r="O275" s="233">
        <v>0</v>
      </c>
      <c r="P275" s="234">
        <v>0</v>
      </c>
      <c r="Q275" s="512"/>
      <c r="R275" s="513"/>
      <c r="S275" s="235">
        <v>1060</v>
      </c>
      <c r="T275" s="236">
        <v>0</v>
      </c>
      <c r="U275" s="165">
        <v>1060</v>
      </c>
      <c r="V275" s="273">
        <f t="shared" ref="V275:V281" si="6">+V276</f>
        <v>115</v>
      </c>
      <c r="W275" s="273">
        <f t="shared" ref="W275:W338" si="7">V275/U275*100</f>
        <v>10.849056603773585</v>
      </c>
    </row>
    <row r="276" spans="1:24" ht="12.75" customHeight="1" x14ac:dyDescent="0.25">
      <c r="A276" s="78"/>
      <c r="B276" s="502" t="s">
        <v>96</v>
      </c>
      <c r="C276" s="502"/>
      <c r="D276" s="502"/>
      <c r="E276" s="502"/>
      <c r="F276" s="502"/>
      <c r="G276" s="502"/>
      <c r="H276" s="502"/>
      <c r="I276" s="502"/>
      <c r="J276" s="502"/>
      <c r="K276" s="502"/>
      <c r="L276" s="503"/>
      <c r="M276" s="237">
        <v>5</v>
      </c>
      <c r="N276" s="237">
        <v>3</v>
      </c>
      <c r="O276" s="238">
        <v>0</v>
      </c>
      <c r="P276" s="239">
        <v>0</v>
      </c>
      <c r="Q276" s="504"/>
      <c r="R276" s="505"/>
      <c r="S276" s="240">
        <v>1060</v>
      </c>
      <c r="T276" s="241">
        <v>0</v>
      </c>
      <c r="U276" s="274">
        <v>1060</v>
      </c>
      <c r="V276" s="273">
        <f t="shared" si="6"/>
        <v>115</v>
      </c>
      <c r="W276" s="273">
        <f t="shared" si="7"/>
        <v>10.849056603773585</v>
      </c>
    </row>
    <row r="277" spans="1:24" ht="21.75" customHeight="1" x14ac:dyDescent="0.2">
      <c r="A277" s="78"/>
      <c r="B277" s="498" t="s">
        <v>91</v>
      </c>
      <c r="C277" s="498"/>
      <c r="D277" s="498"/>
      <c r="E277" s="498"/>
      <c r="F277" s="498"/>
      <c r="G277" s="498"/>
      <c r="H277" s="498"/>
      <c r="I277" s="498"/>
      <c r="J277" s="498"/>
      <c r="K277" s="498"/>
      <c r="L277" s="499"/>
      <c r="M277" s="242">
        <v>5</v>
      </c>
      <c r="N277" s="242">
        <v>3</v>
      </c>
      <c r="O277" s="243" t="s">
        <v>421</v>
      </c>
      <c r="P277" s="244">
        <v>0</v>
      </c>
      <c r="Q277" s="500"/>
      <c r="R277" s="501"/>
      <c r="S277" s="245">
        <v>1060</v>
      </c>
      <c r="T277" s="246">
        <v>0</v>
      </c>
      <c r="U277" s="164">
        <v>1060</v>
      </c>
      <c r="V277" s="273">
        <f t="shared" si="6"/>
        <v>115</v>
      </c>
      <c r="W277" s="273">
        <f t="shared" si="7"/>
        <v>10.849056603773585</v>
      </c>
    </row>
    <row r="278" spans="1:24" ht="12.75" customHeight="1" x14ac:dyDescent="0.2">
      <c r="A278" s="78"/>
      <c r="B278" s="498" t="s">
        <v>97</v>
      </c>
      <c r="C278" s="498"/>
      <c r="D278" s="498"/>
      <c r="E278" s="498"/>
      <c r="F278" s="498"/>
      <c r="G278" s="498"/>
      <c r="H278" s="498"/>
      <c r="I278" s="498"/>
      <c r="J278" s="498"/>
      <c r="K278" s="498"/>
      <c r="L278" s="499"/>
      <c r="M278" s="242">
        <v>5</v>
      </c>
      <c r="N278" s="242">
        <v>3</v>
      </c>
      <c r="O278" s="243" t="s">
        <v>429</v>
      </c>
      <c r="P278" s="244">
        <v>0</v>
      </c>
      <c r="Q278" s="500"/>
      <c r="R278" s="501"/>
      <c r="S278" s="245">
        <v>1060</v>
      </c>
      <c r="T278" s="246">
        <v>0</v>
      </c>
      <c r="U278" s="164">
        <v>1060</v>
      </c>
      <c r="V278" s="273">
        <f t="shared" si="6"/>
        <v>115</v>
      </c>
      <c r="W278" s="273">
        <f t="shared" si="7"/>
        <v>10.849056603773585</v>
      </c>
    </row>
    <row r="279" spans="1:24" ht="12.75" customHeight="1" x14ac:dyDescent="0.2">
      <c r="A279" s="78"/>
      <c r="B279" s="498" t="s">
        <v>98</v>
      </c>
      <c r="C279" s="498"/>
      <c r="D279" s="498"/>
      <c r="E279" s="498"/>
      <c r="F279" s="498"/>
      <c r="G279" s="498"/>
      <c r="H279" s="498"/>
      <c r="I279" s="498"/>
      <c r="J279" s="498"/>
      <c r="K279" s="498"/>
      <c r="L279" s="499"/>
      <c r="M279" s="242">
        <v>5</v>
      </c>
      <c r="N279" s="242">
        <v>3</v>
      </c>
      <c r="O279" s="243" t="s">
        <v>430</v>
      </c>
      <c r="P279" s="244">
        <v>0</v>
      </c>
      <c r="Q279" s="500"/>
      <c r="R279" s="501"/>
      <c r="S279" s="245">
        <v>1060</v>
      </c>
      <c r="T279" s="246">
        <v>0</v>
      </c>
      <c r="U279" s="164">
        <v>1060</v>
      </c>
      <c r="V279" s="273">
        <f t="shared" si="6"/>
        <v>115</v>
      </c>
      <c r="W279" s="273">
        <f t="shared" si="7"/>
        <v>10.849056603773585</v>
      </c>
    </row>
    <row r="280" spans="1:24" ht="21.75" customHeight="1" x14ac:dyDescent="0.2">
      <c r="A280" s="78"/>
      <c r="B280" s="498" t="s">
        <v>345</v>
      </c>
      <c r="C280" s="498"/>
      <c r="D280" s="498"/>
      <c r="E280" s="498"/>
      <c r="F280" s="498"/>
      <c r="G280" s="498"/>
      <c r="H280" s="498"/>
      <c r="I280" s="498"/>
      <c r="J280" s="498"/>
      <c r="K280" s="498"/>
      <c r="L280" s="499"/>
      <c r="M280" s="242">
        <v>5</v>
      </c>
      <c r="N280" s="242">
        <v>3</v>
      </c>
      <c r="O280" s="243" t="s">
        <v>430</v>
      </c>
      <c r="P280" s="244" t="s">
        <v>24</v>
      </c>
      <c r="Q280" s="500"/>
      <c r="R280" s="501"/>
      <c r="S280" s="245">
        <v>1060</v>
      </c>
      <c r="T280" s="246">
        <v>0</v>
      </c>
      <c r="U280" s="164">
        <v>1060</v>
      </c>
      <c r="V280" s="273">
        <f t="shared" si="6"/>
        <v>115</v>
      </c>
      <c r="W280" s="273">
        <f t="shared" si="7"/>
        <v>10.849056603773585</v>
      </c>
    </row>
    <row r="281" spans="1:24" ht="21.75" customHeight="1" x14ac:dyDescent="0.2">
      <c r="A281" s="78"/>
      <c r="B281" s="498" t="s">
        <v>346</v>
      </c>
      <c r="C281" s="498"/>
      <c r="D281" s="498"/>
      <c r="E281" s="498"/>
      <c r="F281" s="498"/>
      <c r="G281" s="498"/>
      <c r="H281" s="498"/>
      <c r="I281" s="498"/>
      <c r="J281" s="498"/>
      <c r="K281" s="498"/>
      <c r="L281" s="499"/>
      <c r="M281" s="242">
        <v>5</v>
      </c>
      <c r="N281" s="242">
        <v>3</v>
      </c>
      <c r="O281" s="243" t="s">
        <v>430</v>
      </c>
      <c r="P281" s="244" t="s">
        <v>26</v>
      </c>
      <c r="Q281" s="500"/>
      <c r="R281" s="501"/>
      <c r="S281" s="245">
        <v>1060</v>
      </c>
      <c r="T281" s="246">
        <v>0</v>
      </c>
      <c r="U281" s="164">
        <v>1060</v>
      </c>
      <c r="V281" s="273">
        <f t="shared" si="6"/>
        <v>115</v>
      </c>
      <c r="W281" s="273">
        <f t="shared" si="7"/>
        <v>10.849056603773585</v>
      </c>
    </row>
    <row r="282" spans="1:24" ht="12.75" customHeight="1" x14ac:dyDescent="0.2">
      <c r="A282" s="78"/>
      <c r="B282" s="498" t="s">
        <v>348</v>
      </c>
      <c r="C282" s="498"/>
      <c r="D282" s="498"/>
      <c r="E282" s="498"/>
      <c r="F282" s="498"/>
      <c r="G282" s="498"/>
      <c r="H282" s="498"/>
      <c r="I282" s="498"/>
      <c r="J282" s="498"/>
      <c r="K282" s="498"/>
      <c r="L282" s="499"/>
      <c r="M282" s="242">
        <v>5</v>
      </c>
      <c r="N282" s="242">
        <v>3</v>
      </c>
      <c r="O282" s="243" t="s">
        <v>430</v>
      </c>
      <c r="P282" s="244" t="s">
        <v>28</v>
      </c>
      <c r="Q282" s="500"/>
      <c r="R282" s="501"/>
      <c r="S282" s="245">
        <v>1060</v>
      </c>
      <c r="T282" s="246">
        <v>0</v>
      </c>
      <c r="U282" s="164">
        <v>1060</v>
      </c>
      <c r="V282" s="273">
        <f>+'11'!AG526</f>
        <v>115</v>
      </c>
      <c r="W282" s="273">
        <f t="shared" si="7"/>
        <v>10.849056603773585</v>
      </c>
    </row>
    <row r="283" spans="1:24" ht="12.75" customHeight="1" x14ac:dyDescent="0.2">
      <c r="A283" s="78"/>
      <c r="B283" s="510" t="s">
        <v>5</v>
      </c>
      <c r="C283" s="510"/>
      <c r="D283" s="510"/>
      <c r="E283" s="510"/>
      <c r="F283" s="510"/>
      <c r="G283" s="510"/>
      <c r="H283" s="510"/>
      <c r="I283" s="510"/>
      <c r="J283" s="510"/>
      <c r="K283" s="510"/>
      <c r="L283" s="511"/>
      <c r="M283" s="232">
        <v>7</v>
      </c>
      <c r="N283" s="232">
        <v>0</v>
      </c>
      <c r="O283" s="233">
        <v>0</v>
      </c>
      <c r="P283" s="234">
        <v>0</v>
      </c>
      <c r="Q283" s="512"/>
      <c r="R283" s="513"/>
      <c r="S283" s="235">
        <v>344124.65100000001</v>
      </c>
      <c r="T283" s="236">
        <v>0</v>
      </c>
      <c r="U283" s="165">
        <v>344124.65100000001</v>
      </c>
      <c r="V283" s="273">
        <f>+V284+V297+V316+V323+V330</f>
        <v>87739.501499999984</v>
      </c>
      <c r="W283" s="273">
        <f t="shared" si="7"/>
        <v>25.496430216503143</v>
      </c>
      <c r="X283" s="57">
        <v>87739.5</v>
      </c>
    </row>
    <row r="284" spans="1:24" ht="12.75" customHeight="1" x14ac:dyDescent="0.25">
      <c r="A284" s="78"/>
      <c r="B284" s="502" t="s">
        <v>68</v>
      </c>
      <c r="C284" s="502"/>
      <c r="D284" s="502"/>
      <c r="E284" s="502"/>
      <c r="F284" s="502"/>
      <c r="G284" s="502"/>
      <c r="H284" s="502"/>
      <c r="I284" s="502"/>
      <c r="J284" s="502"/>
      <c r="K284" s="502"/>
      <c r="L284" s="503"/>
      <c r="M284" s="237">
        <v>7</v>
      </c>
      <c r="N284" s="237">
        <v>1</v>
      </c>
      <c r="O284" s="238">
        <v>0</v>
      </c>
      <c r="P284" s="239">
        <v>0</v>
      </c>
      <c r="Q284" s="504"/>
      <c r="R284" s="505"/>
      <c r="S284" s="240">
        <v>106756.946</v>
      </c>
      <c r="T284" s="241">
        <v>0</v>
      </c>
      <c r="U284" s="274">
        <v>106756.946</v>
      </c>
      <c r="V284" s="273">
        <f>+V285+V291</f>
        <v>28791.615859999998</v>
      </c>
      <c r="W284" s="273">
        <f t="shared" si="7"/>
        <v>26.969313884269415</v>
      </c>
    </row>
    <row r="285" spans="1:24" ht="21.75" customHeight="1" x14ac:dyDescent="0.2">
      <c r="A285" s="78"/>
      <c r="B285" s="498" t="s">
        <v>431</v>
      </c>
      <c r="C285" s="498"/>
      <c r="D285" s="498"/>
      <c r="E285" s="498"/>
      <c r="F285" s="498"/>
      <c r="G285" s="498"/>
      <c r="H285" s="498"/>
      <c r="I285" s="498"/>
      <c r="J285" s="498"/>
      <c r="K285" s="498"/>
      <c r="L285" s="499"/>
      <c r="M285" s="242">
        <v>7</v>
      </c>
      <c r="N285" s="242">
        <v>1</v>
      </c>
      <c r="O285" s="243" t="s">
        <v>432</v>
      </c>
      <c r="P285" s="244">
        <v>0</v>
      </c>
      <c r="Q285" s="500"/>
      <c r="R285" s="501"/>
      <c r="S285" s="245">
        <v>42367.546000000002</v>
      </c>
      <c r="T285" s="246">
        <v>0</v>
      </c>
      <c r="U285" s="164">
        <v>42367.546000000002</v>
      </c>
      <c r="V285" s="273">
        <f>+V286</f>
        <v>11908.479020000001</v>
      </c>
      <c r="W285" s="273">
        <f t="shared" si="7"/>
        <v>28.107549632447444</v>
      </c>
      <c r="X285" s="57">
        <f>X283-V283</f>
        <v>-1.4999999839346856E-3</v>
      </c>
    </row>
    <row r="286" spans="1:24" ht="12.75" customHeight="1" x14ac:dyDescent="0.2">
      <c r="A286" s="78"/>
      <c r="B286" s="498" t="s">
        <v>433</v>
      </c>
      <c r="C286" s="498"/>
      <c r="D286" s="498"/>
      <c r="E286" s="498"/>
      <c r="F286" s="498"/>
      <c r="G286" s="498"/>
      <c r="H286" s="498"/>
      <c r="I286" s="498"/>
      <c r="J286" s="498"/>
      <c r="K286" s="498"/>
      <c r="L286" s="499"/>
      <c r="M286" s="242">
        <v>7</v>
      </c>
      <c r="N286" s="242">
        <v>1</v>
      </c>
      <c r="O286" s="243" t="s">
        <v>434</v>
      </c>
      <c r="P286" s="244">
        <v>0</v>
      </c>
      <c r="Q286" s="500"/>
      <c r="R286" s="501"/>
      <c r="S286" s="245">
        <v>42367.546000000002</v>
      </c>
      <c r="T286" s="246">
        <v>0</v>
      </c>
      <c r="U286" s="164">
        <v>42367.546000000002</v>
      </c>
      <c r="V286" s="273">
        <f>+V287</f>
        <v>11908.479020000001</v>
      </c>
      <c r="W286" s="273">
        <f t="shared" si="7"/>
        <v>28.107549632447444</v>
      </c>
    </row>
    <row r="287" spans="1:24" ht="21.75" customHeight="1" x14ac:dyDescent="0.2">
      <c r="A287" s="78"/>
      <c r="B287" s="498" t="s">
        <v>69</v>
      </c>
      <c r="C287" s="498"/>
      <c r="D287" s="498"/>
      <c r="E287" s="498"/>
      <c r="F287" s="498"/>
      <c r="G287" s="498"/>
      <c r="H287" s="498"/>
      <c r="I287" s="498"/>
      <c r="J287" s="498"/>
      <c r="K287" s="498"/>
      <c r="L287" s="499"/>
      <c r="M287" s="242">
        <v>7</v>
      </c>
      <c r="N287" s="242">
        <v>1</v>
      </c>
      <c r="O287" s="243" t="s">
        <v>435</v>
      </c>
      <c r="P287" s="244">
        <v>0</v>
      </c>
      <c r="Q287" s="500"/>
      <c r="R287" s="501"/>
      <c r="S287" s="245">
        <v>42367.546000000002</v>
      </c>
      <c r="T287" s="246">
        <v>0</v>
      </c>
      <c r="U287" s="164">
        <v>42367.546000000002</v>
      </c>
      <c r="V287" s="273">
        <f>+V288</f>
        <v>11908.479020000001</v>
      </c>
      <c r="W287" s="273">
        <f t="shared" si="7"/>
        <v>28.107549632447444</v>
      </c>
    </row>
    <row r="288" spans="1:24" ht="21.75" customHeight="1" x14ac:dyDescent="0.2">
      <c r="A288" s="78"/>
      <c r="B288" s="498" t="s">
        <v>436</v>
      </c>
      <c r="C288" s="498"/>
      <c r="D288" s="498"/>
      <c r="E288" s="498"/>
      <c r="F288" s="498"/>
      <c r="G288" s="498"/>
      <c r="H288" s="498"/>
      <c r="I288" s="498"/>
      <c r="J288" s="498"/>
      <c r="K288" s="498"/>
      <c r="L288" s="499"/>
      <c r="M288" s="242">
        <v>7</v>
      </c>
      <c r="N288" s="242">
        <v>1</v>
      </c>
      <c r="O288" s="243" t="s">
        <v>435</v>
      </c>
      <c r="P288" s="244" t="s">
        <v>8</v>
      </c>
      <c r="Q288" s="500"/>
      <c r="R288" s="501"/>
      <c r="S288" s="245">
        <v>42367.546000000002</v>
      </c>
      <c r="T288" s="246">
        <v>0</v>
      </c>
      <c r="U288" s="164">
        <v>42367.546000000002</v>
      </c>
      <c r="V288" s="273">
        <f>+V289</f>
        <v>11908.479020000001</v>
      </c>
      <c r="W288" s="273">
        <f t="shared" si="7"/>
        <v>28.107549632447444</v>
      </c>
    </row>
    <row r="289" spans="1:23" ht="12.75" customHeight="1" x14ac:dyDescent="0.2">
      <c r="A289" s="78"/>
      <c r="B289" s="498" t="s">
        <v>9</v>
      </c>
      <c r="C289" s="498"/>
      <c r="D289" s="498"/>
      <c r="E289" s="498"/>
      <c r="F289" s="498"/>
      <c r="G289" s="498"/>
      <c r="H289" s="498"/>
      <c r="I289" s="498"/>
      <c r="J289" s="498"/>
      <c r="K289" s="498"/>
      <c r="L289" s="499"/>
      <c r="M289" s="242">
        <v>7</v>
      </c>
      <c r="N289" s="242">
        <v>1</v>
      </c>
      <c r="O289" s="243" t="s">
        <v>435</v>
      </c>
      <c r="P289" s="244" t="s">
        <v>10</v>
      </c>
      <c r="Q289" s="500"/>
      <c r="R289" s="501"/>
      <c r="S289" s="245">
        <v>42367.546000000002</v>
      </c>
      <c r="T289" s="246">
        <v>0</v>
      </c>
      <c r="U289" s="164">
        <v>42367.546000000002</v>
      </c>
      <c r="V289" s="273">
        <f>+V290</f>
        <v>11908.479020000001</v>
      </c>
      <c r="W289" s="273">
        <f t="shared" si="7"/>
        <v>28.107549632447444</v>
      </c>
    </row>
    <row r="290" spans="1:23" ht="42.75" customHeight="1" x14ac:dyDescent="0.2">
      <c r="A290" s="78"/>
      <c r="B290" s="498" t="s">
        <v>11</v>
      </c>
      <c r="C290" s="498"/>
      <c r="D290" s="498"/>
      <c r="E290" s="498"/>
      <c r="F290" s="498"/>
      <c r="G290" s="498"/>
      <c r="H290" s="498"/>
      <c r="I290" s="498"/>
      <c r="J290" s="498"/>
      <c r="K290" s="498"/>
      <c r="L290" s="499"/>
      <c r="M290" s="242">
        <v>7</v>
      </c>
      <c r="N290" s="242">
        <v>1</v>
      </c>
      <c r="O290" s="243" t="s">
        <v>435</v>
      </c>
      <c r="P290" s="244" t="s">
        <v>12</v>
      </c>
      <c r="Q290" s="500"/>
      <c r="R290" s="501"/>
      <c r="S290" s="245">
        <v>42367.546000000002</v>
      </c>
      <c r="T290" s="246">
        <v>0</v>
      </c>
      <c r="U290" s="164">
        <v>42367.546000000002</v>
      </c>
      <c r="V290" s="273">
        <f>+'11'!AG250</f>
        <v>11908.479020000001</v>
      </c>
      <c r="W290" s="273">
        <f t="shared" si="7"/>
        <v>28.107549632447444</v>
      </c>
    </row>
    <row r="291" spans="1:23" ht="21.75" customHeight="1" x14ac:dyDescent="0.2">
      <c r="A291" s="78"/>
      <c r="B291" s="498" t="s">
        <v>431</v>
      </c>
      <c r="C291" s="498"/>
      <c r="D291" s="498"/>
      <c r="E291" s="498"/>
      <c r="F291" s="498"/>
      <c r="G291" s="498"/>
      <c r="H291" s="498"/>
      <c r="I291" s="498"/>
      <c r="J291" s="498"/>
      <c r="K291" s="498"/>
      <c r="L291" s="499"/>
      <c r="M291" s="242">
        <v>7</v>
      </c>
      <c r="N291" s="242">
        <v>1</v>
      </c>
      <c r="O291" s="243" t="s">
        <v>432</v>
      </c>
      <c r="P291" s="244">
        <v>0</v>
      </c>
      <c r="Q291" s="500"/>
      <c r="R291" s="501"/>
      <c r="S291" s="245">
        <v>64389.4</v>
      </c>
      <c r="T291" s="246">
        <v>0</v>
      </c>
      <c r="U291" s="164">
        <v>64389.4</v>
      </c>
      <c r="V291" s="273">
        <f>+V292</f>
        <v>16883.136839999999</v>
      </c>
      <c r="W291" s="273">
        <f t="shared" si="7"/>
        <v>26.220366768443252</v>
      </c>
    </row>
    <row r="292" spans="1:23" ht="12.75" customHeight="1" x14ac:dyDescent="0.2">
      <c r="A292" s="78"/>
      <c r="B292" s="498" t="s">
        <v>433</v>
      </c>
      <c r="C292" s="498"/>
      <c r="D292" s="498"/>
      <c r="E292" s="498"/>
      <c r="F292" s="498"/>
      <c r="G292" s="498"/>
      <c r="H292" s="498"/>
      <c r="I292" s="498"/>
      <c r="J292" s="498"/>
      <c r="K292" s="498"/>
      <c r="L292" s="499"/>
      <c r="M292" s="242">
        <v>7</v>
      </c>
      <c r="N292" s="242">
        <v>1</v>
      </c>
      <c r="O292" s="243" t="s">
        <v>434</v>
      </c>
      <c r="P292" s="244">
        <v>0</v>
      </c>
      <c r="Q292" s="500"/>
      <c r="R292" s="501"/>
      <c r="S292" s="245">
        <v>64389.4</v>
      </c>
      <c r="T292" s="246">
        <v>0</v>
      </c>
      <c r="U292" s="164">
        <v>64389.4</v>
      </c>
      <c r="V292" s="273">
        <f>+V293</f>
        <v>16883.136839999999</v>
      </c>
      <c r="W292" s="273">
        <f t="shared" si="7"/>
        <v>26.220366768443252</v>
      </c>
    </row>
    <row r="293" spans="1:23" ht="21.75" customHeight="1" x14ac:dyDescent="0.2">
      <c r="A293" s="78"/>
      <c r="B293" s="498" t="s">
        <v>70</v>
      </c>
      <c r="C293" s="498"/>
      <c r="D293" s="498"/>
      <c r="E293" s="498"/>
      <c r="F293" s="498"/>
      <c r="G293" s="498"/>
      <c r="H293" s="498"/>
      <c r="I293" s="498"/>
      <c r="J293" s="498"/>
      <c r="K293" s="498"/>
      <c r="L293" s="499"/>
      <c r="M293" s="242">
        <v>7</v>
      </c>
      <c r="N293" s="242">
        <v>1</v>
      </c>
      <c r="O293" s="243" t="s">
        <v>437</v>
      </c>
      <c r="P293" s="244">
        <v>0</v>
      </c>
      <c r="Q293" s="500"/>
      <c r="R293" s="501"/>
      <c r="S293" s="245">
        <v>64389.4</v>
      </c>
      <c r="T293" s="246">
        <v>0</v>
      </c>
      <c r="U293" s="164">
        <v>64389.4</v>
      </c>
      <c r="V293" s="273">
        <f>+V294</f>
        <v>16883.136839999999</v>
      </c>
      <c r="W293" s="273">
        <f t="shared" si="7"/>
        <v>26.220366768443252</v>
      </c>
    </row>
    <row r="294" spans="1:23" ht="21.75" customHeight="1" x14ac:dyDescent="0.2">
      <c r="A294" s="78"/>
      <c r="B294" s="498" t="s">
        <v>436</v>
      </c>
      <c r="C294" s="498"/>
      <c r="D294" s="498"/>
      <c r="E294" s="498"/>
      <c r="F294" s="498"/>
      <c r="G294" s="498"/>
      <c r="H294" s="498"/>
      <c r="I294" s="498"/>
      <c r="J294" s="498"/>
      <c r="K294" s="498"/>
      <c r="L294" s="499"/>
      <c r="M294" s="242">
        <v>7</v>
      </c>
      <c r="N294" s="242">
        <v>1</v>
      </c>
      <c r="O294" s="243" t="s">
        <v>437</v>
      </c>
      <c r="P294" s="244" t="s">
        <v>8</v>
      </c>
      <c r="Q294" s="500"/>
      <c r="R294" s="501"/>
      <c r="S294" s="245">
        <v>64389.4</v>
      </c>
      <c r="T294" s="246">
        <v>0</v>
      </c>
      <c r="U294" s="164">
        <v>64389.4</v>
      </c>
      <c r="V294" s="273">
        <f>+V295</f>
        <v>16883.136839999999</v>
      </c>
      <c r="W294" s="273">
        <f t="shared" si="7"/>
        <v>26.220366768443252</v>
      </c>
    </row>
    <row r="295" spans="1:23" ht="12.75" customHeight="1" x14ac:dyDescent="0.2">
      <c r="A295" s="78"/>
      <c r="B295" s="498" t="s">
        <v>9</v>
      </c>
      <c r="C295" s="498"/>
      <c r="D295" s="498"/>
      <c r="E295" s="498"/>
      <c r="F295" s="498"/>
      <c r="G295" s="498"/>
      <c r="H295" s="498"/>
      <c r="I295" s="498"/>
      <c r="J295" s="498"/>
      <c r="K295" s="498"/>
      <c r="L295" s="499"/>
      <c r="M295" s="242">
        <v>7</v>
      </c>
      <c r="N295" s="242">
        <v>1</v>
      </c>
      <c r="O295" s="243" t="s">
        <v>437</v>
      </c>
      <c r="P295" s="244" t="s">
        <v>10</v>
      </c>
      <c r="Q295" s="500"/>
      <c r="R295" s="501"/>
      <c r="S295" s="245">
        <v>64389.4</v>
      </c>
      <c r="T295" s="246">
        <v>0</v>
      </c>
      <c r="U295" s="164">
        <v>64389.4</v>
      </c>
      <c r="V295" s="273">
        <f>+V296</f>
        <v>16883.136839999999</v>
      </c>
      <c r="W295" s="273">
        <f t="shared" si="7"/>
        <v>26.220366768443252</v>
      </c>
    </row>
    <row r="296" spans="1:23" ht="42.75" customHeight="1" x14ac:dyDescent="0.2">
      <c r="A296" s="78"/>
      <c r="B296" s="498" t="s">
        <v>11</v>
      </c>
      <c r="C296" s="498"/>
      <c r="D296" s="498"/>
      <c r="E296" s="498"/>
      <c r="F296" s="498"/>
      <c r="G296" s="498"/>
      <c r="H296" s="498"/>
      <c r="I296" s="498"/>
      <c r="J296" s="498"/>
      <c r="K296" s="498"/>
      <c r="L296" s="499"/>
      <c r="M296" s="242">
        <v>7</v>
      </c>
      <c r="N296" s="242">
        <v>1</v>
      </c>
      <c r="O296" s="243" t="s">
        <v>437</v>
      </c>
      <c r="P296" s="244" t="s">
        <v>12</v>
      </c>
      <c r="Q296" s="500"/>
      <c r="R296" s="501"/>
      <c r="S296" s="245">
        <v>64389.4</v>
      </c>
      <c r="T296" s="246">
        <v>0</v>
      </c>
      <c r="U296" s="164">
        <v>64389.4</v>
      </c>
      <c r="V296" s="273">
        <f>+'11'!AG256</f>
        <v>16883.136839999999</v>
      </c>
      <c r="W296" s="273">
        <f t="shared" si="7"/>
        <v>26.220366768443252</v>
      </c>
    </row>
    <row r="297" spans="1:23" ht="12.75" customHeight="1" x14ac:dyDescent="0.25">
      <c r="A297" s="78"/>
      <c r="B297" s="502" t="s">
        <v>71</v>
      </c>
      <c r="C297" s="502"/>
      <c r="D297" s="502"/>
      <c r="E297" s="502"/>
      <c r="F297" s="502"/>
      <c r="G297" s="502"/>
      <c r="H297" s="502"/>
      <c r="I297" s="502"/>
      <c r="J297" s="502"/>
      <c r="K297" s="502"/>
      <c r="L297" s="503"/>
      <c r="M297" s="237">
        <v>7</v>
      </c>
      <c r="N297" s="237">
        <v>2</v>
      </c>
      <c r="O297" s="238">
        <v>0</v>
      </c>
      <c r="P297" s="239">
        <v>0</v>
      </c>
      <c r="Q297" s="504"/>
      <c r="R297" s="505"/>
      <c r="S297" s="240">
        <v>196555.891</v>
      </c>
      <c r="T297" s="241">
        <v>0</v>
      </c>
      <c r="U297" s="274">
        <v>196555.891</v>
      </c>
      <c r="V297" s="273">
        <f>+V298+V304+V310</f>
        <v>49049.029589999998</v>
      </c>
      <c r="W297" s="273">
        <f t="shared" si="7"/>
        <v>24.954240415007455</v>
      </c>
    </row>
    <row r="298" spans="1:23" ht="21.75" customHeight="1" x14ac:dyDescent="0.2">
      <c r="A298" s="78"/>
      <c r="B298" s="498" t="s">
        <v>431</v>
      </c>
      <c r="C298" s="498"/>
      <c r="D298" s="498"/>
      <c r="E298" s="498"/>
      <c r="F298" s="498"/>
      <c r="G298" s="498"/>
      <c r="H298" s="498"/>
      <c r="I298" s="498"/>
      <c r="J298" s="498"/>
      <c r="K298" s="498"/>
      <c r="L298" s="499"/>
      <c r="M298" s="242">
        <v>7</v>
      </c>
      <c r="N298" s="242">
        <v>2</v>
      </c>
      <c r="O298" s="243" t="s">
        <v>432</v>
      </c>
      <c r="P298" s="244">
        <v>0</v>
      </c>
      <c r="Q298" s="500"/>
      <c r="R298" s="501"/>
      <c r="S298" s="245">
        <v>18289.091</v>
      </c>
      <c r="T298" s="246">
        <v>0</v>
      </c>
      <c r="U298" s="164">
        <v>18289.091</v>
      </c>
      <c r="V298" s="273">
        <f>+V299</f>
        <v>3857.6077599999999</v>
      </c>
      <c r="W298" s="273">
        <f t="shared" si="7"/>
        <v>21.092397429702768</v>
      </c>
    </row>
    <row r="299" spans="1:23" ht="12.75" customHeight="1" x14ac:dyDescent="0.2">
      <c r="A299" s="78"/>
      <c r="B299" s="498" t="s">
        <v>72</v>
      </c>
      <c r="C299" s="498"/>
      <c r="D299" s="498"/>
      <c r="E299" s="498"/>
      <c r="F299" s="498"/>
      <c r="G299" s="498"/>
      <c r="H299" s="498"/>
      <c r="I299" s="498"/>
      <c r="J299" s="498"/>
      <c r="K299" s="498"/>
      <c r="L299" s="499"/>
      <c r="M299" s="242">
        <v>7</v>
      </c>
      <c r="N299" s="242">
        <v>2</v>
      </c>
      <c r="O299" s="243" t="s">
        <v>438</v>
      </c>
      <c r="P299" s="244">
        <v>0</v>
      </c>
      <c r="Q299" s="500"/>
      <c r="R299" s="501"/>
      <c r="S299" s="245">
        <v>18289.091</v>
      </c>
      <c r="T299" s="246">
        <v>0</v>
      </c>
      <c r="U299" s="164">
        <v>18289.091</v>
      </c>
      <c r="V299" s="273">
        <f>+V300</f>
        <v>3857.6077599999999</v>
      </c>
      <c r="W299" s="273">
        <f t="shared" si="7"/>
        <v>21.092397429702768</v>
      </c>
    </row>
    <row r="300" spans="1:23" ht="21.75" customHeight="1" x14ac:dyDescent="0.2">
      <c r="A300" s="78"/>
      <c r="B300" s="498" t="s">
        <v>69</v>
      </c>
      <c r="C300" s="498"/>
      <c r="D300" s="498"/>
      <c r="E300" s="498"/>
      <c r="F300" s="498"/>
      <c r="G300" s="498"/>
      <c r="H300" s="498"/>
      <c r="I300" s="498"/>
      <c r="J300" s="498"/>
      <c r="K300" s="498"/>
      <c r="L300" s="499"/>
      <c r="M300" s="242">
        <v>7</v>
      </c>
      <c r="N300" s="242">
        <v>2</v>
      </c>
      <c r="O300" s="243" t="s">
        <v>439</v>
      </c>
      <c r="P300" s="244">
        <v>0</v>
      </c>
      <c r="Q300" s="500"/>
      <c r="R300" s="501"/>
      <c r="S300" s="245">
        <v>18289.091</v>
      </c>
      <c r="T300" s="246">
        <v>0</v>
      </c>
      <c r="U300" s="164">
        <v>18289.091</v>
      </c>
      <c r="V300" s="273">
        <f>+V301</f>
        <v>3857.6077599999999</v>
      </c>
      <c r="W300" s="273">
        <f t="shared" si="7"/>
        <v>21.092397429702768</v>
      </c>
    </row>
    <row r="301" spans="1:23" ht="21.75" customHeight="1" x14ac:dyDescent="0.2">
      <c r="A301" s="78"/>
      <c r="B301" s="498" t="s">
        <v>436</v>
      </c>
      <c r="C301" s="498"/>
      <c r="D301" s="498"/>
      <c r="E301" s="498"/>
      <c r="F301" s="498"/>
      <c r="G301" s="498"/>
      <c r="H301" s="498"/>
      <c r="I301" s="498"/>
      <c r="J301" s="498"/>
      <c r="K301" s="498"/>
      <c r="L301" s="499"/>
      <c r="M301" s="242">
        <v>7</v>
      </c>
      <c r="N301" s="242">
        <v>2</v>
      </c>
      <c r="O301" s="243" t="s">
        <v>439</v>
      </c>
      <c r="P301" s="244" t="s">
        <v>8</v>
      </c>
      <c r="Q301" s="500"/>
      <c r="R301" s="501"/>
      <c r="S301" s="245">
        <v>18289.091</v>
      </c>
      <c r="T301" s="246">
        <v>0</v>
      </c>
      <c r="U301" s="164">
        <v>18289.091</v>
      </c>
      <c r="V301" s="273">
        <f>+V302</f>
        <v>3857.6077599999999</v>
      </c>
      <c r="W301" s="273">
        <f t="shared" si="7"/>
        <v>21.092397429702768</v>
      </c>
    </row>
    <row r="302" spans="1:23" ht="12.75" customHeight="1" x14ac:dyDescent="0.2">
      <c r="A302" s="78"/>
      <c r="B302" s="498" t="s">
        <v>9</v>
      </c>
      <c r="C302" s="498"/>
      <c r="D302" s="498"/>
      <c r="E302" s="498"/>
      <c r="F302" s="498"/>
      <c r="G302" s="498"/>
      <c r="H302" s="498"/>
      <c r="I302" s="498"/>
      <c r="J302" s="498"/>
      <c r="K302" s="498"/>
      <c r="L302" s="499"/>
      <c r="M302" s="242">
        <v>7</v>
      </c>
      <c r="N302" s="242">
        <v>2</v>
      </c>
      <c r="O302" s="243" t="s">
        <v>439</v>
      </c>
      <c r="P302" s="244" t="s">
        <v>10</v>
      </c>
      <c r="Q302" s="500"/>
      <c r="R302" s="501"/>
      <c r="S302" s="245">
        <v>18289.091</v>
      </c>
      <c r="T302" s="246">
        <v>0</v>
      </c>
      <c r="U302" s="164">
        <v>18289.091</v>
      </c>
      <c r="V302" s="273">
        <f>+V303</f>
        <v>3857.6077599999999</v>
      </c>
      <c r="W302" s="273">
        <f t="shared" si="7"/>
        <v>21.092397429702768</v>
      </c>
    </row>
    <row r="303" spans="1:23" ht="42.75" customHeight="1" x14ac:dyDescent="0.2">
      <c r="A303" s="78"/>
      <c r="B303" s="498" t="s">
        <v>11</v>
      </c>
      <c r="C303" s="498"/>
      <c r="D303" s="498"/>
      <c r="E303" s="498"/>
      <c r="F303" s="498"/>
      <c r="G303" s="498"/>
      <c r="H303" s="498"/>
      <c r="I303" s="498"/>
      <c r="J303" s="498"/>
      <c r="K303" s="498"/>
      <c r="L303" s="499"/>
      <c r="M303" s="242">
        <v>7</v>
      </c>
      <c r="N303" s="242">
        <v>2</v>
      </c>
      <c r="O303" s="243" t="s">
        <v>439</v>
      </c>
      <c r="P303" s="244" t="s">
        <v>12</v>
      </c>
      <c r="Q303" s="500"/>
      <c r="R303" s="501"/>
      <c r="S303" s="245">
        <v>18289.091</v>
      </c>
      <c r="T303" s="246">
        <v>0</v>
      </c>
      <c r="U303" s="164">
        <v>18289.091</v>
      </c>
      <c r="V303" s="273">
        <f>+'11'!AG263</f>
        <v>3857.6077599999999</v>
      </c>
      <c r="W303" s="273">
        <f t="shared" si="7"/>
        <v>21.092397429702768</v>
      </c>
    </row>
    <row r="304" spans="1:23" ht="21.75" customHeight="1" x14ac:dyDescent="0.2">
      <c r="A304" s="78"/>
      <c r="B304" s="498" t="s">
        <v>431</v>
      </c>
      <c r="C304" s="498"/>
      <c r="D304" s="498"/>
      <c r="E304" s="498"/>
      <c r="F304" s="498"/>
      <c r="G304" s="498"/>
      <c r="H304" s="498"/>
      <c r="I304" s="498"/>
      <c r="J304" s="498"/>
      <c r="K304" s="498"/>
      <c r="L304" s="499"/>
      <c r="M304" s="242">
        <v>7</v>
      </c>
      <c r="N304" s="242">
        <v>2</v>
      </c>
      <c r="O304" s="243" t="s">
        <v>432</v>
      </c>
      <c r="P304" s="244">
        <v>0</v>
      </c>
      <c r="Q304" s="500"/>
      <c r="R304" s="501"/>
      <c r="S304" s="245">
        <v>175951</v>
      </c>
      <c r="T304" s="246">
        <v>0</v>
      </c>
      <c r="U304" s="164">
        <v>175951</v>
      </c>
      <c r="V304" s="273">
        <f>+V305</f>
        <v>45191.421829999999</v>
      </c>
      <c r="W304" s="273">
        <f t="shared" si="7"/>
        <v>25.684094907104821</v>
      </c>
    </row>
    <row r="305" spans="1:23" ht="12.75" customHeight="1" x14ac:dyDescent="0.2">
      <c r="A305" s="78"/>
      <c r="B305" s="498" t="s">
        <v>72</v>
      </c>
      <c r="C305" s="498"/>
      <c r="D305" s="498"/>
      <c r="E305" s="498"/>
      <c r="F305" s="498"/>
      <c r="G305" s="498"/>
      <c r="H305" s="498"/>
      <c r="I305" s="498"/>
      <c r="J305" s="498"/>
      <c r="K305" s="498"/>
      <c r="L305" s="499"/>
      <c r="M305" s="242">
        <v>7</v>
      </c>
      <c r="N305" s="242">
        <v>2</v>
      </c>
      <c r="O305" s="243" t="s">
        <v>438</v>
      </c>
      <c r="P305" s="244">
        <v>0</v>
      </c>
      <c r="Q305" s="500"/>
      <c r="R305" s="501"/>
      <c r="S305" s="245">
        <v>175951</v>
      </c>
      <c r="T305" s="246">
        <v>0</v>
      </c>
      <c r="U305" s="164">
        <v>175951</v>
      </c>
      <c r="V305" s="273">
        <f>+V306</f>
        <v>45191.421829999999</v>
      </c>
      <c r="W305" s="273">
        <f t="shared" si="7"/>
        <v>25.684094907104821</v>
      </c>
    </row>
    <row r="306" spans="1:23" ht="53.25" customHeight="1" x14ac:dyDescent="0.2">
      <c r="A306" s="78"/>
      <c r="B306" s="498" t="s">
        <v>162</v>
      </c>
      <c r="C306" s="498"/>
      <c r="D306" s="498"/>
      <c r="E306" s="498"/>
      <c r="F306" s="498"/>
      <c r="G306" s="498"/>
      <c r="H306" s="498"/>
      <c r="I306" s="498"/>
      <c r="J306" s="498"/>
      <c r="K306" s="498"/>
      <c r="L306" s="499"/>
      <c r="M306" s="242">
        <v>7</v>
      </c>
      <c r="N306" s="242">
        <v>2</v>
      </c>
      <c r="O306" s="243" t="s">
        <v>440</v>
      </c>
      <c r="P306" s="244">
        <v>0</v>
      </c>
      <c r="Q306" s="500"/>
      <c r="R306" s="501"/>
      <c r="S306" s="245">
        <v>175951</v>
      </c>
      <c r="T306" s="246">
        <v>0</v>
      </c>
      <c r="U306" s="164">
        <v>175951</v>
      </c>
      <c r="V306" s="273">
        <f>+V307</f>
        <v>45191.421829999999</v>
      </c>
      <c r="W306" s="273">
        <f t="shared" si="7"/>
        <v>25.684094907104821</v>
      </c>
    </row>
    <row r="307" spans="1:23" ht="21.75" customHeight="1" x14ac:dyDescent="0.2">
      <c r="A307" s="78"/>
      <c r="B307" s="498" t="s">
        <v>436</v>
      </c>
      <c r="C307" s="498"/>
      <c r="D307" s="498"/>
      <c r="E307" s="498"/>
      <c r="F307" s="498"/>
      <c r="G307" s="498"/>
      <c r="H307" s="498"/>
      <c r="I307" s="498"/>
      <c r="J307" s="498"/>
      <c r="K307" s="498"/>
      <c r="L307" s="499"/>
      <c r="M307" s="242">
        <v>7</v>
      </c>
      <c r="N307" s="242">
        <v>2</v>
      </c>
      <c r="O307" s="243" t="s">
        <v>440</v>
      </c>
      <c r="P307" s="244" t="s">
        <v>8</v>
      </c>
      <c r="Q307" s="500"/>
      <c r="R307" s="501"/>
      <c r="S307" s="245">
        <v>175951</v>
      </c>
      <c r="T307" s="246">
        <v>0</v>
      </c>
      <c r="U307" s="164">
        <v>175951</v>
      </c>
      <c r="V307" s="273">
        <f>+V308</f>
        <v>45191.421829999999</v>
      </c>
      <c r="W307" s="273">
        <f t="shared" si="7"/>
        <v>25.684094907104821</v>
      </c>
    </row>
    <row r="308" spans="1:23" ht="12.75" customHeight="1" x14ac:dyDescent="0.2">
      <c r="A308" s="78"/>
      <c r="B308" s="498" t="s">
        <v>9</v>
      </c>
      <c r="C308" s="498"/>
      <c r="D308" s="498"/>
      <c r="E308" s="498"/>
      <c r="F308" s="498"/>
      <c r="G308" s="498"/>
      <c r="H308" s="498"/>
      <c r="I308" s="498"/>
      <c r="J308" s="498"/>
      <c r="K308" s="498"/>
      <c r="L308" s="499"/>
      <c r="M308" s="242">
        <v>7</v>
      </c>
      <c r="N308" s="242">
        <v>2</v>
      </c>
      <c r="O308" s="243" t="s">
        <v>440</v>
      </c>
      <c r="P308" s="244" t="s">
        <v>10</v>
      </c>
      <c r="Q308" s="500"/>
      <c r="R308" s="501"/>
      <c r="S308" s="245">
        <v>175951</v>
      </c>
      <c r="T308" s="246">
        <v>0</v>
      </c>
      <c r="U308" s="164">
        <v>175951</v>
      </c>
      <c r="V308" s="273">
        <f>+V309</f>
        <v>45191.421829999999</v>
      </c>
      <c r="W308" s="273">
        <f t="shared" si="7"/>
        <v>25.684094907104821</v>
      </c>
    </row>
    <row r="309" spans="1:23" ht="42.75" customHeight="1" x14ac:dyDescent="0.2">
      <c r="A309" s="78"/>
      <c r="B309" s="498" t="s">
        <v>11</v>
      </c>
      <c r="C309" s="498"/>
      <c r="D309" s="498"/>
      <c r="E309" s="498"/>
      <c r="F309" s="498"/>
      <c r="G309" s="498"/>
      <c r="H309" s="498"/>
      <c r="I309" s="498"/>
      <c r="J309" s="498"/>
      <c r="K309" s="498"/>
      <c r="L309" s="499"/>
      <c r="M309" s="242">
        <v>7</v>
      </c>
      <c r="N309" s="242">
        <v>2</v>
      </c>
      <c r="O309" s="243" t="s">
        <v>440</v>
      </c>
      <c r="P309" s="244" t="s">
        <v>12</v>
      </c>
      <c r="Q309" s="500"/>
      <c r="R309" s="501"/>
      <c r="S309" s="245">
        <v>175951</v>
      </c>
      <c r="T309" s="246">
        <v>0</v>
      </c>
      <c r="U309" s="164">
        <v>175951</v>
      </c>
      <c r="V309" s="273">
        <f>+'11'!AG269</f>
        <v>45191.421829999999</v>
      </c>
      <c r="W309" s="273">
        <f t="shared" si="7"/>
        <v>25.684094907104821</v>
      </c>
    </row>
    <row r="310" spans="1:23" ht="21.75" customHeight="1" x14ac:dyDescent="0.2">
      <c r="A310" s="78"/>
      <c r="B310" s="498" t="s">
        <v>431</v>
      </c>
      <c r="C310" s="498"/>
      <c r="D310" s="498"/>
      <c r="E310" s="498"/>
      <c r="F310" s="498"/>
      <c r="G310" s="498"/>
      <c r="H310" s="498"/>
      <c r="I310" s="498"/>
      <c r="J310" s="498"/>
      <c r="K310" s="498"/>
      <c r="L310" s="499"/>
      <c r="M310" s="242">
        <v>7</v>
      </c>
      <c r="N310" s="242">
        <v>2</v>
      </c>
      <c r="O310" s="243" t="s">
        <v>432</v>
      </c>
      <c r="P310" s="244">
        <v>0</v>
      </c>
      <c r="Q310" s="500"/>
      <c r="R310" s="501"/>
      <c r="S310" s="245">
        <v>2315.8000000000002</v>
      </c>
      <c r="T310" s="246">
        <v>0</v>
      </c>
      <c r="U310" s="164">
        <v>2315.8000000000002</v>
      </c>
      <c r="V310" s="273">
        <f>+V311</f>
        <v>0</v>
      </c>
      <c r="W310" s="273">
        <f t="shared" si="7"/>
        <v>0</v>
      </c>
    </row>
    <row r="311" spans="1:23" ht="12.75" customHeight="1" x14ac:dyDescent="0.2">
      <c r="A311" s="78"/>
      <c r="B311" s="498" t="s">
        <v>72</v>
      </c>
      <c r="C311" s="498"/>
      <c r="D311" s="498"/>
      <c r="E311" s="498"/>
      <c r="F311" s="498"/>
      <c r="G311" s="498"/>
      <c r="H311" s="498"/>
      <c r="I311" s="498"/>
      <c r="J311" s="498"/>
      <c r="K311" s="498"/>
      <c r="L311" s="499"/>
      <c r="M311" s="242">
        <v>7</v>
      </c>
      <c r="N311" s="242">
        <v>2</v>
      </c>
      <c r="O311" s="243" t="s">
        <v>438</v>
      </c>
      <c r="P311" s="244">
        <v>0</v>
      </c>
      <c r="Q311" s="500"/>
      <c r="R311" s="501"/>
      <c r="S311" s="245">
        <v>2315.8000000000002</v>
      </c>
      <c r="T311" s="246">
        <v>0</v>
      </c>
      <c r="U311" s="164">
        <v>2315.8000000000002</v>
      </c>
      <c r="V311" s="273">
        <f>+V312</f>
        <v>0</v>
      </c>
      <c r="W311" s="273">
        <f t="shared" si="7"/>
        <v>0</v>
      </c>
    </row>
    <row r="312" spans="1:23" ht="32.25" customHeight="1" x14ac:dyDescent="0.2">
      <c r="A312" s="78"/>
      <c r="B312" s="498" t="s">
        <v>561</v>
      </c>
      <c r="C312" s="498"/>
      <c r="D312" s="498"/>
      <c r="E312" s="498"/>
      <c r="F312" s="498"/>
      <c r="G312" s="498"/>
      <c r="H312" s="498"/>
      <c r="I312" s="498"/>
      <c r="J312" s="498"/>
      <c r="K312" s="498"/>
      <c r="L312" s="499"/>
      <c r="M312" s="242">
        <v>7</v>
      </c>
      <c r="N312" s="242">
        <v>2</v>
      </c>
      <c r="O312" s="243" t="s">
        <v>562</v>
      </c>
      <c r="P312" s="244">
        <v>0</v>
      </c>
      <c r="Q312" s="500"/>
      <c r="R312" s="501"/>
      <c r="S312" s="245">
        <v>2315.8000000000002</v>
      </c>
      <c r="T312" s="246">
        <v>0</v>
      </c>
      <c r="U312" s="164">
        <v>2315.8000000000002</v>
      </c>
      <c r="V312" s="273">
        <f>+V313</f>
        <v>0</v>
      </c>
      <c r="W312" s="273">
        <f t="shared" si="7"/>
        <v>0</v>
      </c>
    </row>
    <row r="313" spans="1:23" ht="21.75" customHeight="1" x14ac:dyDescent="0.2">
      <c r="A313" s="78"/>
      <c r="B313" s="498" t="s">
        <v>436</v>
      </c>
      <c r="C313" s="498"/>
      <c r="D313" s="498"/>
      <c r="E313" s="498"/>
      <c r="F313" s="498"/>
      <c r="G313" s="498"/>
      <c r="H313" s="498"/>
      <c r="I313" s="498"/>
      <c r="J313" s="498"/>
      <c r="K313" s="498"/>
      <c r="L313" s="499"/>
      <c r="M313" s="242">
        <v>7</v>
      </c>
      <c r="N313" s="242">
        <v>2</v>
      </c>
      <c r="O313" s="243" t="s">
        <v>562</v>
      </c>
      <c r="P313" s="244" t="s">
        <v>8</v>
      </c>
      <c r="Q313" s="500"/>
      <c r="R313" s="501"/>
      <c r="S313" s="245">
        <v>2315.8000000000002</v>
      </c>
      <c r="T313" s="246">
        <v>0</v>
      </c>
      <c r="U313" s="164">
        <v>2315.8000000000002</v>
      </c>
      <c r="V313" s="273">
        <f>+V314</f>
        <v>0</v>
      </c>
      <c r="W313" s="273">
        <f t="shared" si="7"/>
        <v>0</v>
      </c>
    </row>
    <row r="314" spans="1:23" ht="12.75" customHeight="1" x14ac:dyDescent="0.2">
      <c r="A314" s="78"/>
      <c r="B314" s="498" t="s">
        <v>9</v>
      </c>
      <c r="C314" s="498"/>
      <c r="D314" s="498"/>
      <c r="E314" s="498"/>
      <c r="F314" s="498"/>
      <c r="G314" s="498"/>
      <c r="H314" s="498"/>
      <c r="I314" s="498"/>
      <c r="J314" s="498"/>
      <c r="K314" s="498"/>
      <c r="L314" s="499"/>
      <c r="M314" s="242">
        <v>7</v>
      </c>
      <c r="N314" s="242">
        <v>2</v>
      </c>
      <c r="O314" s="243" t="s">
        <v>562</v>
      </c>
      <c r="P314" s="244" t="s">
        <v>10</v>
      </c>
      <c r="Q314" s="500"/>
      <c r="R314" s="501"/>
      <c r="S314" s="245">
        <v>2315.8000000000002</v>
      </c>
      <c r="T314" s="246">
        <v>0</v>
      </c>
      <c r="U314" s="164">
        <v>2315.8000000000002</v>
      </c>
      <c r="V314" s="273">
        <f>+V315</f>
        <v>0</v>
      </c>
      <c r="W314" s="273">
        <f t="shared" si="7"/>
        <v>0</v>
      </c>
    </row>
    <row r="315" spans="1:23" ht="12.75" customHeight="1" x14ac:dyDescent="0.2">
      <c r="A315" s="78"/>
      <c r="B315" s="498" t="s">
        <v>152</v>
      </c>
      <c r="C315" s="498"/>
      <c r="D315" s="498"/>
      <c r="E315" s="498"/>
      <c r="F315" s="498"/>
      <c r="G315" s="498"/>
      <c r="H315" s="498"/>
      <c r="I315" s="498"/>
      <c r="J315" s="498"/>
      <c r="K315" s="498"/>
      <c r="L315" s="499"/>
      <c r="M315" s="242">
        <v>7</v>
      </c>
      <c r="N315" s="242">
        <v>2</v>
      </c>
      <c r="O315" s="243" t="s">
        <v>562</v>
      </c>
      <c r="P315" s="244" t="s">
        <v>151</v>
      </c>
      <c r="Q315" s="500"/>
      <c r="R315" s="501"/>
      <c r="S315" s="245">
        <v>2315.8000000000002</v>
      </c>
      <c r="T315" s="246">
        <v>0</v>
      </c>
      <c r="U315" s="164">
        <v>2315.8000000000002</v>
      </c>
      <c r="V315" s="273"/>
      <c r="W315" s="273">
        <f t="shared" si="7"/>
        <v>0</v>
      </c>
    </row>
    <row r="316" spans="1:23" ht="12.75" customHeight="1" x14ac:dyDescent="0.25">
      <c r="A316" s="78"/>
      <c r="B316" s="502" t="s">
        <v>441</v>
      </c>
      <c r="C316" s="502"/>
      <c r="D316" s="502"/>
      <c r="E316" s="502"/>
      <c r="F316" s="502"/>
      <c r="G316" s="502"/>
      <c r="H316" s="502"/>
      <c r="I316" s="502"/>
      <c r="J316" s="502"/>
      <c r="K316" s="502"/>
      <c r="L316" s="503"/>
      <c r="M316" s="237">
        <v>7</v>
      </c>
      <c r="N316" s="237">
        <v>3</v>
      </c>
      <c r="O316" s="238">
        <v>0</v>
      </c>
      <c r="P316" s="239">
        <v>0</v>
      </c>
      <c r="Q316" s="504"/>
      <c r="R316" s="505"/>
      <c r="S316" s="240">
        <v>21802.66</v>
      </c>
      <c r="T316" s="241">
        <v>0</v>
      </c>
      <c r="U316" s="274">
        <v>21802.66</v>
      </c>
      <c r="V316" s="273">
        <f t="shared" ref="V316:V321" si="8">+V317</f>
        <v>5141.4431599999998</v>
      </c>
      <c r="W316" s="273">
        <f t="shared" si="7"/>
        <v>23.58172424832566</v>
      </c>
    </row>
    <row r="317" spans="1:23" ht="21.75" customHeight="1" x14ac:dyDescent="0.2">
      <c r="A317" s="78"/>
      <c r="B317" s="498" t="s">
        <v>431</v>
      </c>
      <c r="C317" s="498"/>
      <c r="D317" s="498"/>
      <c r="E317" s="498"/>
      <c r="F317" s="498"/>
      <c r="G317" s="498"/>
      <c r="H317" s="498"/>
      <c r="I317" s="498"/>
      <c r="J317" s="498"/>
      <c r="K317" s="498"/>
      <c r="L317" s="499"/>
      <c r="M317" s="242">
        <v>7</v>
      </c>
      <c r="N317" s="242">
        <v>3</v>
      </c>
      <c r="O317" s="243" t="s">
        <v>432</v>
      </c>
      <c r="P317" s="244">
        <v>0</v>
      </c>
      <c r="Q317" s="500"/>
      <c r="R317" s="501"/>
      <c r="S317" s="245">
        <v>21802.66</v>
      </c>
      <c r="T317" s="246">
        <v>0</v>
      </c>
      <c r="U317" s="164">
        <v>21802.66</v>
      </c>
      <c r="V317" s="273">
        <f t="shared" si="8"/>
        <v>5141.4431599999998</v>
      </c>
      <c r="W317" s="273">
        <f t="shared" si="7"/>
        <v>23.58172424832566</v>
      </c>
    </row>
    <row r="318" spans="1:23" ht="12.75" customHeight="1" x14ac:dyDescent="0.2">
      <c r="A318" s="78"/>
      <c r="B318" s="498" t="s">
        <v>442</v>
      </c>
      <c r="C318" s="498"/>
      <c r="D318" s="498"/>
      <c r="E318" s="498"/>
      <c r="F318" s="498"/>
      <c r="G318" s="498"/>
      <c r="H318" s="498"/>
      <c r="I318" s="498"/>
      <c r="J318" s="498"/>
      <c r="K318" s="498"/>
      <c r="L318" s="499"/>
      <c r="M318" s="242">
        <v>7</v>
      </c>
      <c r="N318" s="242">
        <v>3</v>
      </c>
      <c r="O318" s="243" t="s">
        <v>443</v>
      </c>
      <c r="P318" s="244">
        <v>0</v>
      </c>
      <c r="Q318" s="500"/>
      <c r="R318" s="501"/>
      <c r="S318" s="245">
        <v>21802.66</v>
      </c>
      <c r="T318" s="246">
        <v>0</v>
      </c>
      <c r="U318" s="164">
        <v>21802.66</v>
      </c>
      <c r="V318" s="273">
        <f t="shared" si="8"/>
        <v>5141.4431599999998</v>
      </c>
      <c r="W318" s="273">
        <f t="shared" si="7"/>
        <v>23.58172424832566</v>
      </c>
    </row>
    <row r="319" spans="1:23" ht="21.75" customHeight="1" x14ac:dyDescent="0.2">
      <c r="A319" s="78"/>
      <c r="B319" s="498" t="s">
        <v>6</v>
      </c>
      <c r="C319" s="498"/>
      <c r="D319" s="498"/>
      <c r="E319" s="498"/>
      <c r="F319" s="498"/>
      <c r="G319" s="498"/>
      <c r="H319" s="498"/>
      <c r="I319" s="498"/>
      <c r="J319" s="498"/>
      <c r="K319" s="498"/>
      <c r="L319" s="499"/>
      <c r="M319" s="242">
        <v>7</v>
      </c>
      <c r="N319" s="242">
        <v>3</v>
      </c>
      <c r="O319" s="243" t="s">
        <v>444</v>
      </c>
      <c r="P319" s="244">
        <v>0</v>
      </c>
      <c r="Q319" s="500"/>
      <c r="R319" s="501"/>
      <c r="S319" s="245">
        <v>21802.66</v>
      </c>
      <c r="T319" s="246">
        <v>0</v>
      </c>
      <c r="U319" s="164">
        <v>21802.66</v>
      </c>
      <c r="V319" s="273">
        <f t="shared" si="8"/>
        <v>5141.4431599999998</v>
      </c>
      <c r="W319" s="273">
        <f t="shared" si="7"/>
        <v>23.58172424832566</v>
      </c>
    </row>
    <row r="320" spans="1:23" ht="21.75" customHeight="1" x14ac:dyDescent="0.2">
      <c r="A320" s="78"/>
      <c r="B320" s="498" t="s">
        <v>436</v>
      </c>
      <c r="C320" s="498"/>
      <c r="D320" s="498"/>
      <c r="E320" s="498"/>
      <c r="F320" s="498"/>
      <c r="G320" s="498"/>
      <c r="H320" s="498"/>
      <c r="I320" s="498"/>
      <c r="J320" s="498"/>
      <c r="K320" s="498"/>
      <c r="L320" s="499"/>
      <c r="M320" s="242">
        <v>7</v>
      </c>
      <c r="N320" s="242">
        <v>3</v>
      </c>
      <c r="O320" s="243" t="s">
        <v>444</v>
      </c>
      <c r="P320" s="244" t="s">
        <v>8</v>
      </c>
      <c r="Q320" s="500"/>
      <c r="R320" s="501"/>
      <c r="S320" s="245">
        <v>21802.66</v>
      </c>
      <c r="T320" s="246">
        <v>0</v>
      </c>
      <c r="U320" s="164">
        <v>21802.66</v>
      </c>
      <c r="V320" s="273">
        <f t="shared" si="8"/>
        <v>5141.4431599999998</v>
      </c>
      <c r="W320" s="273">
        <f t="shared" si="7"/>
        <v>23.58172424832566</v>
      </c>
    </row>
    <row r="321" spans="1:24" ht="12.75" customHeight="1" x14ac:dyDescent="0.2">
      <c r="A321" s="78"/>
      <c r="B321" s="498" t="s">
        <v>9</v>
      </c>
      <c r="C321" s="498"/>
      <c r="D321" s="498"/>
      <c r="E321" s="498"/>
      <c r="F321" s="498"/>
      <c r="G321" s="498"/>
      <c r="H321" s="498"/>
      <c r="I321" s="498"/>
      <c r="J321" s="498"/>
      <c r="K321" s="498"/>
      <c r="L321" s="499"/>
      <c r="M321" s="242">
        <v>7</v>
      </c>
      <c r="N321" s="242">
        <v>3</v>
      </c>
      <c r="O321" s="243" t="s">
        <v>444</v>
      </c>
      <c r="P321" s="244" t="s">
        <v>10</v>
      </c>
      <c r="Q321" s="500"/>
      <c r="R321" s="501"/>
      <c r="S321" s="245">
        <v>21802.66</v>
      </c>
      <c r="T321" s="246">
        <v>0</v>
      </c>
      <c r="U321" s="164">
        <v>21802.66</v>
      </c>
      <c r="V321" s="273">
        <f t="shared" si="8"/>
        <v>5141.4431599999998</v>
      </c>
      <c r="W321" s="273">
        <f t="shared" si="7"/>
        <v>23.58172424832566</v>
      </c>
    </row>
    <row r="322" spans="1:24" ht="42.75" customHeight="1" x14ac:dyDescent="0.2">
      <c r="A322" s="78"/>
      <c r="B322" s="498" t="s">
        <v>11</v>
      </c>
      <c r="C322" s="498"/>
      <c r="D322" s="498"/>
      <c r="E322" s="498"/>
      <c r="F322" s="498"/>
      <c r="G322" s="498"/>
      <c r="H322" s="498"/>
      <c r="I322" s="498"/>
      <c r="J322" s="498"/>
      <c r="K322" s="498"/>
      <c r="L322" s="499"/>
      <c r="M322" s="242">
        <v>7</v>
      </c>
      <c r="N322" s="242">
        <v>3</v>
      </c>
      <c r="O322" s="243" t="s">
        <v>444</v>
      </c>
      <c r="P322" s="244" t="s">
        <v>12</v>
      </c>
      <c r="Q322" s="500"/>
      <c r="R322" s="501"/>
      <c r="S322" s="245">
        <v>21802.66</v>
      </c>
      <c r="T322" s="246">
        <v>0</v>
      </c>
      <c r="U322" s="164">
        <v>21802.66</v>
      </c>
      <c r="V322" s="273">
        <f>+'11'!AG282+'11'!AG26</f>
        <v>5141.4431599999998</v>
      </c>
      <c r="W322" s="273">
        <f t="shared" si="7"/>
        <v>23.58172424832566</v>
      </c>
    </row>
    <row r="323" spans="1:24" ht="12.75" customHeight="1" x14ac:dyDescent="0.25">
      <c r="A323" s="78"/>
      <c r="B323" s="502" t="s">
        <v>447</v>
      </c>
      <c r="C323" s="502"/>
      <c r="D323" s="502"/>
      <c r="E323" s="502"/>
      <c r="F323" s="502"/>
      <c r="G323" s="502"/>
      <c r="H323" s="502"/>
      <c r="I323" s="502"/>
      <c r="J323" s="502"/>
      <c r="K323" s="502"/>
      <c r="L323" s="503"/>
      <c r="M323" s="237">
        <v>7</v>
      </c>
      <c r="N323" s="237">
        <v>7</v>
      </c>
      <c r="O323" s="238">
        <v>0</v>
      </c>
      <c r="P323" s="239">
        <v>0</v>
      </c>
      <c r="Q323" s="504"/>
      <c r="R323" s="505"/>
      <c r="S323" s="240">
        <v>1230</v>
      </c>
      <c r="T323" s="241">
        <v>0</v>
      </c>
      <c r="U323" s="274">
        <v>1230</v>
      </c>
      <c r="V323" s="273">
        <f t="shared" ref="V323:V328" si="9">+V324</f>
        <v>0</v>
      </c>
      <c r="W323" s="273">
        <f t="shared" si="7"/>
        <v>0</v>
      </c>
    </row>
    <row r="324" spans="1:24" ht="21.75" customHeight="1" x14ac:dyDescent="0.2">
      <c r="A324" s="78"/>
      <c r="B324" s="498" t="s">
        <v>431</v>
      </c>
      <c r="C324" s="498"/>
      <c r="D324" s="498"/>
      <c r="E324" s="498"/>
      <c r="F324" s="498"/>
      <c r="G324" s="498"/>
      <c r="H324" s="498"/>
      <c r="I324" s="498"/>
      <c r="J324" s="498"/>
      <c r="K324" s="498"/>
      <c r="L324" s="499"/>
      <c r="M324" s="242">
        <v>7</v>
      </c>
      <c r="N324" s="242">
        <v>7</v>
      </c>
      <c r="O324" s="243" t="s">
        <v>432</v>
      </c>
      <c r="P324" s="244">
        <v>0</v>
      </c>
      <c r="Q324" s="500"/>
      <c r="R324" s="501"/>
      <c r="S324" s="245">
        <v>1230</v>
      </c>
      <c r="T324" s="246">
        <v>0</v>
      </c>
      <c r="U324" s="164">
        <v>1230</v>
      </c>
      <c r="V324" s="273">
        <f t="shared" si="9"/>
        <v>0</v>
      </c>
      <c r="W324" s="273">
        <f t="shared" si="7"/>
        <v>0</v>
      </c>
    </row>
    <row r="325" spans="1:24" ht="12.75" customHeight="1" x14ac:dyDescent="0.2">
      <c r="A325" s="78"/>
      <c r="B325" s="498" t="s">
        <v>73</v>
      </c>
      <c r="C325" s="498"/>
      <c r="D325" s="498"/>
      <c r="E325" s="498"/>
      <c r="F325" s="498"/>
      <c r="G325" s="498"/>
      <c r="H325" s="498"/>
      <c r="I325" s="498"/>
      <c r="J325" s="498"/>
      <c r="K325" s="498"/>
      <c r="L325" s="499"/>
      <c r="M325" s="242">
        <v>7</v>
      </c>
      <c r="N325" s="242">
        <v>7</v>
      </c>
      <c r="O325" s="243" t="s">
        <v>448</v>
      </c>
      <c r="P325" s="244">
        <v>0</v>
      </c>
      <c r="Q325" s="500"/>
      <c r="R325" s="501"/>
      <c r="S325" s="245">
        <v>1230</v>
      </c>
      <c r="T325" s="246">
        <v>0</v>
      </c>
      <c r="U325" s="164">
        <v>1230</v>
      </c>
      <c r="V325" s="273">
        <f t="shared" si="9"/>
        <v>0</v>
      </c>
      <c r="W325" s="273">
        <f t="shared" si="7"/>
        <v>0</v>
      </c>
    </row>
    <row r="326" spans="1:24" ht="12.75" customHeight="1" x14ac:dyDescent="0.2">
      <c r="A326" s="78"/>
      <c r="B326" s="498" t="s">
        <v>74</v>
      </c>
      <c r="C326" s="498"/>
      <c r="D326" s="498"/>
      <c r="E326" s="498"/>
      <c r="F326" s="498"/>
      <c r="G326" s="498"/>
      <c r="H326" s="498"/>
      <c r="I326" s="498"/>
      <c r="J326" s="498"/>
      <c r="K326" s="498"/>
      <c r="L326" s="499"/>
      <c r="M326" s="242">
        <v>7</v>
      </c>
      <c r="N326" s="242">
        <v>7</v>
      </c>
      <c r="O326" s="243" t="s">
        <v>449</v>
      </c>
      <c r="P326" s="244">
        <v>0</v>
      </c>
      <c r="Q326" s="500"/>
      <c r="R326" s="501"/>
      <c r="S326" s="245">
        <v>1230</v>
      </c>
      <c r="T326" s="246">
        <v>0</v>
      </c>
      <c r="U326" s="164">
        <v>1230</v>
      </c>
      <c r="V326" s="273">
        <f t="shared" si="9"/>
        <v>0</v>
      </c>
      <c r="W326" s="273">
        <f t="shared" si="7"/>
        <v>0</v>
      </c>
    </row>
    <row r="327" spans="1:24" ht="21.75" customHeight="1" x14ac:dyDescent="0.2">
      <c r="A327" s="78"/>
      <c r="B327" s="498" t="s">
        <v>436</v>
      </c>
      <c r="C327" s="498"/>
      <c r="D327" s="498"/>
      <c r="E327" s="498"/>
      <c r="F327" s="498"/>
      <c r="G327" s="498"/>
      <c r="H327" s="498"/>
      <c r="I327" s="498"/>
      <c r="J327" s="498"/>
      <c r="K327" s="498"/>
      <c r="L327" s="499"/>
      <c r="M327" s="242">
        <v>7</v>
      </c>
      <c r="N327" s="242">
        <v>7</v>
      </c>
      <c r="O327" s="243" t="s">
        <v>449</v>
      </c>
      <c r="P327" s="244" t="s">
        <v>8</v>
      </c>
      <c r="Q327" s="500"/>
      <c r="R327" s="501"/>
      <c r="S327" s="245">
        <v>1230</v>
      </c>
      <c r="T327" s="246">
        <v>0</v>
      </c>
      <c r="U327" s="164">
        <v>1230</v>
      </c>
      <c r="V327" s="273">
        <f t="shared" si="9"/>
        <v>0</v>
      </c>
      <c r="W327" s="273">
        <f t="shared" si="7"/>
        <v>0</v>
      </c>
    </row>
    <row r="328" spans="1:24" ht="12.75" customHeight="1" x14ac:dyDescent="0.2">
      <c r="A328" s="78"/>
      <c r="B328" s="498" t="s">
        <v>9</v>
      </c>
      <c r="C328" s="498"/>
      <c r="D328" s="498"/>
      <c r="E328" s="498"/>
      <c r="F328" s="498"/>
      <c r="G328" s="498"/>
      <c r="H328" s="498"/>
      <c r="I328" s="498"/>
      <c r="J328" s="498"/>
      <c r="K328" s="498"/>
      <c r="L328" s="499"/>
      <c r="M328" s="242">
        <v>7</v>
      </c>
      <c r="N328" s="242">
        <v>7</v>
      </c>
      <c r="O328" s="243" t="s">
        <v>449</v>
      </c>
      <c r="P328" s="244" t="s">
        <v>10</v>
      </c>
      <c r="Q328" s="500"/>
      <c r="R328" s="501"/>
      <c r="S328" s="245">
        <v>1230</v>
      </c>
      <c r="T328" s="246">
        <v>0</v>
      </c>
      <c r="U328" s="164">
        <v>1230</v>
      </c>
      <c r="V328" s="273">
        <f t="shared" si="9"/>
        <v>0</v>
      </c>
      <c r="W328" s="273">
        <f t="shared" si="7"/>
        <v>0</v>
      </c>
    </row>
    <row r="329" spans="1:24" ht="42.75" customHeight="1" x14ac:dyDescent="0.2">
      <c r="A329" s="78"/>
      <c r="B329" s="498" t="s">
        <v>11</v>
      </c>
      <c r="C329" s="498"/>
      <c r="D329" s="498"/>
      <c r="E329" s="498"/>
      <c r="F329" s="498"/>
      <c r="G329" s="498"/>
      <c r="H329" s="498"/>
      <c r="I329" s="498"/>
      <c r="J329" s="498"/>
      <c r="K329" s="498"/>
      <c r="L329" s="499"/>
      <c r="M329" s="242">
        <v>7</v>
      </c>
      <c r="N329" s="242">
        <v>7</v>
      </c>
      <c r="O329" s="243" t="s">
        <v>449</v>
      </c>
      <c r="P329" s="244" t="s">
        <v>12</v>
      </c>
      <c r="Q329" s="500"/>
      <c r="R329" s="501"/>
      <c r="S329" s="245">
        <v>1230</v>
      </c>
      <c r="T329" s="246">
        <v>0</v>
      </c>
      <c r="U329" s="164">
        <v>1230</v>
      </c>
      <c r="V329" s="273"/>
      <c r="W329" s="273">
        <f t="shared" si="7"/>
        <v>0</v>
      </c>
    </row>
    <row r="330" spans="1:24" ht="12.75" customHeight="1" x14ac:dyDescent="0.25">
      <c r="A330" s="78"/>
      <c r="B330" s="502" t="s">
        <v>75</v>
      </c>
      <c r="C330" s="502"/>
      <c r="D330" s="502"/>
      <c r="E330" s="502"/>
      <c r="F330" s="502"/>
      <c r="G330" s="502"/>
      <c r="H330" s="502"/>
      <c r="I330" s="502"/>
      <c r="J330" s="502"/>
      <c r="K330" s="502"/>
      <c r="L330" s="503"/>
      <c r="M330" s="237">
        <v>7</v>
      </c>
      <c r="N330" s="237">
        <v>9</v>
      </c>
      <c r="O330" s="238">
        <v>0</v>
      </c>
      <c r="P330" s="239">
        <v>0</v>
      </c>
      <c r="Q330" s="504"/>
      <c r="R330" s="505"/>
      <c r="S330" s="240">
        <v>17779.153999999999</v>
      </c>
      <c r="T330" s="241">
        <v>0</v>
      </c>
      <c r="U330" s="274">
        <v>17779.153999999999</v>
      </c>
      <c r="V330" s="273">
        <f>+V331+V338+V354</f>
        <v>4757.4128899999996</v>
      </c>
      <c r="W330" s="273">
        <f t="shared" si="7"/>
        <v>26.758376073462216</v>
      </c>
      <c r="X330" s="57">
        <v>4757.3999999999996</v>
      </c>
    </row>
    <row r="331" spans="1:24" ht="21.75" customHeight="1" x14ac:dyDescent="0.2">
      <c r="A331" s="78"/>
      <c r="B331" s="498" t="s">
        <v>431</v>
      </c>
      <c r="C331" s="498"/>
      <c r="D331" s="498"/>
      <c r="E331" s="498"/>
      <c r="F331" s="498"/>
      <c r="G331" s="498"/>
      <c r="H331" s="498"/>
      <c r="I331" s="498"/>
      <c r="J331" s="498"/>
      <c r="K331" s="498"/>
      <c r="L331" s="499"/>
      <c r="M331" s="242">
        <v>7</v>
      </c>
      <c r="N331" s="242">
        <v>9</v>
      </c>
      <c r="O331" s="243" t="s">
        <v>432</v>
      </c>
      <c r="P331" s="244">
        <v>0</v>
      </c>
      <c r="Q331" s="500"/>
      <c r="R331" s="501"/>
      <c r="S331" s="245">
        <v>752.33299999999997</v>
      </c>
      <c r="T331" s="246">
        <v>0</v>
      </c>
      <c r="U331" s="164">
        <v>752.33299999999997</v>
      </c>
      <c r="V331" s="273">
        <f>+V332</f>
        <v>186.32093</v>
      </c>
      <c r="W331" s="273">
        <f t="shared" si="7"/>
        <v>24.765752665375572</v>
      </c>
    </row>
    <row r="332" spans="1:24" ht="21.75" customHeight="1" x14ac:dyDescent="0.2">
      <c r="A332" s="78"/>
      <c r="B332" s="498" t="s">
        <v>450</v>
      </c>
      <c r="C332" s="498"/>
      <c r="D332" s="498"/>
      <c r="E332" s="498"/>
      <c r="F332" s="498"/>
      <c r="G332" s="498"/>
      <c r="H332" s="498"/>
      <c r="I332" s="498"/>
      <c r="J332" s="498"/>
      <c r="K332" s="498"/>
      <c r="L332" s="499"/>
      <c r="M332" s="242">
        <v>7</v>
      </c>
      <c r="N332" s="242">
        <v>9</v>
      </c>
      <c r="O332" s="243" t="s">
        <v>451</v>
      </c>
      <c r="P332" s="244">
        <v>0</v>
      </c>
      <c r="Q332" s="500"/>
      <c r="R332" s="501"/>
      <c r="S332" s="245">
        <v>752.33299999999997</v>
      </c>
      <c r="T332" s="246">
        <v>0</v>
      </c>
      <c r="U332" s="164">
        <v>752.33299999999997</v>
      </c>
      <c r="V332" s="273">
        <f>+V333</f>
        <v>186.32093</v>
      </c>
      <c r="W332" s="273">
        <f t="shared" si="7"/>
        <v>24.765752665375572</v>
      </c>
      <c r="X332" s="57">
        <f>X330-V330</f>
        <v>-1.2889999999970314E-2</v>
      </c>
    </row>
    <row r="333" spans="1:24" ht="32.25" customHeight="1" x14ac:dyDescent="0.2">
      <c r="A333" s="78"/>
      <c r="B333" s="498" t="s">
        <v>63</v>
      </c>
      <c r="C333" s="498"/>
      <c r="D333" s="498"/>
      <c r="E333" s="498"/>
      <c r="F333" s="498"/>
      <c r="G333" s="498"/>
      <c r="H333" s="498"/>
      <c r="I333" s="498"/>
      <c r="J333" s="498"/>
      <c r="K333" s="498"/>
      <c r="L333" s="499"/>
      <c r="M333" s="242">
        <v>7</v>
      </c>
      <c r="N333" s="242">
        <v>9</v>
      </c>
      <c r="O333" s="243" t="s">
        <v>452</v>
      </c>
      <c r="P333" s="244">
        <v>0</v>
      </c>
      <c r="Q333" s="500"/>
      <c r="R333" s="501"/>
      <c r="S333" s="245">
        <v>752.33299999999997</v>
      </c>
      <c r="T333" s="246">
        <v>0</v>
      </c>
      <c r="U333" s="164">
        <v>752.33299999999997</v>
      </c>
      <c r="V333" s="273">
        <f>+V334</f>
        <v>186.32093</v>
      </c>
      <c r="W333" s="273">
        <f t="shared" si="7"/>
        <v>24.765752665375572</v>
      </c>
    </row>
    <row r="334" spans="1:24" ht="53.25" customHeight="1" x14ac:dyDescent="0.2">
      <c r="A334" s="78"/>
      <c r="B334" s="498" t="s">
        <v>17</v>
      </c>
      <c r="C334" s="498"/>
      <c r="D334" s="498"/>
      <c r="E334" s="498"/>
      <c r="F334" s="498"/>
      <c r="G334" s="498"/>
      <c r="H334" s="498"/>
      <c r="I334" s="498"/>
      <c r="J334" s="498"/>
      <c r="K334" s="498"/>
      <c r="L334" s="499"/>
      <c r="M334" s="242">
        <v>7</v>
      </c>
      <c r="N334" s="242">
        <v>9</v>
      </c>
      <c r="O334" s="243" t="s">
        <v>452</v>
      </c>
      <c r="P334" s="244" t="s">
        <v>18</v>
      </c>
      <c r="Q334" s="500"/>
      <c r="R334" s="501"/>
      <c r="S334" s="245">
        <v>752.33299999999997</v>
      </c>
      <c r="T334" s="246">
        <v>0</v>
      </c>
      <c r="U334" s="164">
        <v>752.33299999999997</v>
      </c>
      <c r="V334" s="273">
        <f>+V335</f>
        <v>186.32093</v>
      </c>
      <c r="W334" s="273">
        <f t="shared" si="7"/>
        <v>24.765752665375572</v>
      </c>
    </row>
    <row r="335" spans="1:24" ht="21.75" customHeight="1" x14ac:dyDescent="0.2">
      <c r="A335" s="78"/>
      <c r="B335" s="498" t="s">
        <v>37</v>
      </c>
      <c r="C335" s="498"/>
      <c r="D335" s="498"/>
      <c r="E335" s="498"/>
      <c r="F335" s="498"/>
      <c r="G335" s="498"/>
      <c r="H335" s="498"/>
      <c r="I335" s="498"/>
      <c r="J335" s="498"/>
      <c r="K335" s="498"/>
      <c r="L335" s="499"/>
      <c r="M335" s="242">
        <v>7</v>
      </c>
      <c r="N335" s="242">
        <v>9</v>
      </c>
      <c r="O335" s="243" t="s">
        <v>452</v>
      </c>
      <c r="P335" s="244" t="s">
        <v>38</v>
      </c>
      <c r="Q335" s="500"/>
      <c r="R335" s="501"/>
      <c r="S335" s="245">
        <v>752.33299999999997</v>
      </c>
      <c r="T335" s="246">
        <v>0</v>
      </c>
      <c r="U335" s="164">
        <v>752.33299999999997</v>
      </c>
      <c r="V335" s="273">
        <f>+V336+V337</f>
        <v>186.32093</v>
      </c>
      <c r="W335" s="273">
        <f t="shared" si="7"/>
        <v>24.765752665375572</v>
      </c>
    </row>
    <row r="336" spans="1:24" ht="21.75" customHeight="1" x14ac:dyDescent="0.2">
      <c r="A336" s="78"/>
      <c r="B336" s="498" t="s">
        <v>333</v>
      </c>
      <c r="C336" s="498"/>
      <c r="D336" s="498"/>
      <c r="E336" s="498"/>
      <c r="F336" s="498"/>
      <c r="G336" s="498"/>
      <c r="H336" s="498"/>
      <c r="I336" s="498"/>
      <c r="J336" s="498"/>
      <c r="K336" s="498"/>
      <c r="L336" s="499"/>
      <c r="M336" s="242">
        <v>7</v>
      </c>
      <c r="N336" s="242">
        <v>9</v>
      </c>
      <c r="O336" s="243" t="s">
        <v>452</v>
      </c>
      <c r="P336" s="244" t="s">
        <v>39</v>
      </c>
      <c r="Q336" s="500"/>
      <c r="R336" s="501"/>
      <c r="S336" s="245">
        <v>577.82899999999995</v>
      </c>
      <c r="T336" s="246">
        <v>0</v>
      </c>
      <c r="U336" s="164">
        <v>577.82899999999995</v>
      </c>
      <c r="V336" s="273">
        <f>+'11'!AG296</f>
        <v>143.10363000000001</v>
      </c>
      <c r="W336" s="273">
        <f t="shared" si="7"/>
        <v>24.76574038340063</v>
      </c>
    </row>
    <row r="337" spans="1:23" ht="32.25" customHeight="1" x14ac:dyDescent="0.2">
      <c r="A337" s="78"/>
      <c r="B337" s="498" t="s">
        <v>334</v>
      </c>
      <c r="C337" s="498"/>
      <c r="D337" s="498"/>
      <c r="E337" s="498"/>
      <c r="F337" s="498"/>
      <c r="G337" s="498"/>
      <c r="H337" s="498"/>
      <c r="I337" s="498"/>
      <c r="J337" s="498"/>
      <c r="K337" s="498"/>
      <c r="L337" s="499"/>
      <c r="M337" s="242">
        <v>7</v>
      </c>
      <c r="N337" s="242">
        <v>9</v>
      </c>
      <c r="O337" s="243" t="s">
        <v>452</v>
      </c>
      <c r="P337" s="244" t="s">
        <v>41</v>
      </c>
      <c r="Q337" s="500"/>
      <c r="R337" s="501"/>
      <c r="S337" s="245">
        <v>174.50399999999999</v>
      </c>
      <c r="T337" s="246">
        <v>0</v>
      </c>
      <c r="U337" s="164">
        <v>174.50399999999999</v>
      </c>
      <c r="V337" s="273">
        <f>+'11'!AG297</f>
        <v>43.217300000000002</v>
      </c>
      <c r="W337" s="273">
        <f t="shared" si="7"/>
        <v>24.765793334250219</v>
      </c>
    </row>
    <row r="338" spans="1:23" ht="21.75" customHeight="1" x14ac:dyDescent="0.2">
      <c r="A338" s="78"/>
      <c r="B338" s="498" t="s">
        <v>431</v>
      </c>
      <c r="C338" s="498"/>
      <c r="D338" s="498"/>
      <c r="E338" s="498"/>
      <c r="F338" s="498"/>
      <c r="G338" s="498"/>
      <c r="H338" s="498"/>
      <c r="I338" s="498"/>
      <c r="J338" s="498"/>
      <c r="K338" s="498"/>
      <c r="L338" s="499"/>
      <c r="M338" s="242">
        <v>7</v>
      </c>
      <c r="N338" s="242">
        <v>9</v>
      </c>
      <c r="O338" s="243" t="s">
        <v>432</v>
      </c>
      <c r="P338" s="244">
        <v>0</v>
      </c>
      <c r="Q338" s="500"/>
      <c r="R338" s="501"/>
      <c r="S338" s="245">
        <v>16563.420999999998</v>
      </c>
      <c r="T338" s="246">
        <v>0</v>
      </c>
      <c r="U338" s="164">
        <v>16563.420999999998</v>
      </c>
      <c r="V338" s="273">
        <f>+V339</f>
        <v>4500.1762099999996</v>
      </c>
      <c r="W338" s="273">
        <f t="shared" si="7"/>
        <v>27.169364408475762</v>
      </c>
    </row>
    <row r="339" spans="1:23" ht="21.75" customHeight="1" x14ac:dyDescent="0.2">
      <c r="A339" s="78"/>
      <c r="B339" s="498" t="s">
        <v>450</v>
      </c>
      <c r="C339" s="498"/>
      <c r="D339" s="498"/>
      <c r="E339" s="498"/>
      <c r="F339" s="498"/>
      <c r="G339" s="498"/>
      <c r="H339" s="498"/>
      <c r="I339" s="498"/>
      <c r="J339" s="498"/>
      <c r="K339" s="498"/>
      <c r="L339" s="499"/>
      <c r="M339" s="242">
        <v>7</v>
      </c>
      <c r="N339" s="242">
        <v>9</v>
      </c>
      <c r="O339" s="243" t="s">
        <v>451</v>
      </c>
      <c r="P339" s="244">
        <v>0</v>
      </c>
      <c r="Q339" s="500"/>
      <c r="R339" s="501"/>
      <c r="S339" s="245">
        <v>16563.420999999998</v>
      </c>
      <c r="T339" s="246">
        <v>0</v>
      </c>
      <c r="U339" s="164">
        <v>16563.420999999998</v>
      </c>
      <c r="V339" s="273">
        <f>+V340</f>
        <v>4500.1762099999996</v>
      </c>
      <c r="W339" s="273">
        <f t="shared" ref="W339:W402" si="10">V339/U339*100</f>
        <v>27.169364408475762</v>
      </c>
    </row>
    <row r="340" spans="1:23" ht="21.75" customHeight="1" x14ac:dyDescent="0.2">
      <c r="A340" s="78"/>
      <c r="B340" s="498" t="s">
        <v>59</v>
      </c>
      <c r="C340" s="498"/>
      <c r="D340" s="498"/>
      <c r="E340" s="498"/>
      <c r="F340" s="498"/>
      <c r="G340" s="498"/>
      <c r="H340" s="498"/>
      <c r="I340" s="498"/>
      <c r="J340" s="498"/>
      <c r="K340" s="498"/>
      <c r="L340" s="499"/>
      <c r="M340" s="242">
        <v>7</v>
      </c>
      <c r="N340" s="242">
        <v>9</v>
      </c>
      <c r="O340" s="243" t="s">
        <v>453</v>
      </c>
      <c r="P340" s="244">
        <v>0</v>
      </c>
      <c r="Q340" s="500"/>
      <c r="R340" s="501"/>
      <c r="S340" s="245">
        <v>16563.420999999998</v>
      </c>
      <c r="T340" s="246">
        <v>0</v>
      </c>
      <c r="U340" s="164">
        <v>16563.420999999998</v>
      </c>
      <c r="V340" s="273">
        <f>+V341+V345+V349</f>
        <v>4500.1762099999996</v>
      </c>
      <c r="W340" s="273">
        <f t="shared" si="10"/>
        <v>27.169364408475762</v>
      </c>
    </row>
    <row r="341" spans="1:23" ht="53.25" customHeight="1" x14ac:dyDescent="0.2">
      <c r="A341" s="78"/>
      <c r="B341" s="498" t="s">
        <v>17</v>
      </c>
      <c r="C341" s="498"/>
      <c r="D341" s="498"/>
      <c r="E341" s="498"/>
      <c r="F341" s="498"/>
      <c r="G341" s="498"/>
      <c r="H341" s="498"/>
      <c r="I341" s="498"/>
      <c r="J341" s="498"/>
      <c r="K341" s="498"/>
      <c r="L341" s="499"/>
      <c r="M341" s="242">
        <v>7</v>
      </c>
      <c r="N341" s="242">
        <v>9</v>
      </c>
      <c r="O341" s="243" t="s">
        <v>453</v>
      </c>
      <c r="P341" s="244" t="s">
        <v>18</v>
      </c>
      <c r="Q341" s="500"/>
      <c r="R341" s="501"/>
      <c r="S341" s="245">
        <v>15279</v>
      </c>
      <c r="T341" s="246">
        <v>0</v>
      </c>
      <c r="U341" s="164">
        <v>15279</v>
      </c>
      <c r="V341" s="273">
        <f>+V342</f>
        <v>3934.0141400000002</v>
      </c>
      <c r="W341" s="273">
        <f t="shared" si="10"/>
        <v>25.747850906472934</v>
      </c>
    </row>
    <row r="342" spans="1:23" ht="12.75" customHeight="1" x14ac:dyDescent="0.2">
      <c r="A342" s="78"/>
      <c r="B342" s="498" t="s">
        <v>19</v>
      </c>
      <c r="C342" s="498"/>
      <c r="D342" s="498"/>
      <c r="E342" s="498"/>
      <c r="F342" s="498"/>
      <c r="G342" s="498"/>
      <c r="H342" s="498"/>
      <c r="I342" s="498"/>
      <c r="J342" s="498"/>
      <c r="K342" s="498"/>
      <c r="L342" s="499"/>
      <c r="M342" s="242">
        <v>7</v>
      </c>
      <c r="N342" s="242">
        <v>9</v>
      </c>
      <c r="O342" s="243" t="s">
        <v>453</v>
      </c>
      <c r="P342" s="244" t="s">
        <v>20</v>
      </c>
      <c r="Q342" s="500"/>
      <c r="R342" s="501"/>
      <c r="S342" s="245">
        <v>15279</v>
      </c>
      <c r="T342" s="246">
        <v>0</v>
      </c>
      <c r="U342" s="164">
        <v>15279</v>
      </c>
      <c r="V342" s="273">
        <f>+V343+V344</f>
        <v>3934.0141400000002</v>
      </c>
      <c r="W342" s="273">
        <f t="shared" si="10"/>
        <v>25.747850906472934</v>
      </c>
    </row>
    <row r="343" spans="1:23" ht="12.75" customHeight="1" x14ac:dyDescent="0.2">
      <c r="A343" s="78"/>
      <c r="B343" s="498" t="s">
        <v>404</v>
      </c>
      <c r="C343" s="498"/>
      <c r="D343" s="498"/>
      <c r="E343" s="498"/>
      <c r="F343" s="498"/>
      <c r="G343" s="498"/>
      <c r="H343" s="498"/>
      <c r="I343" s="498"/>
      <c r="J343" s="498"/>
      <c r="K343" s="498"/>
      <c r="L343" s="499"/>
      <c r="M343" s="242">
        <v>7</v>
      </c>
      <c r="N343" s="242">
        <v>9</v>
      </c>
      <c r="O343" s="243" t="s">
        <v>453</v>
      </c>
      <c r="P343" s="244" t="s">
        <v>21</v>
      </c>
      <c r="Q343" s="500"/>
      <c r="R343" s="501"/>
      <c r="S343" s="245">
        <v>11735.022999999999</v>
      </c>
      <c r="T343" s="246">
        <v>0</v>
      </c>
      <c r="U343" s="164">
        <v>11735.022999999999</v>
      </c>
      <c r="V343" s="273">
        <f>+'11'!AG303</f>
        <v>3025.3278500000001</v>
      </c>
      <c r="W343" s="273">
        <f t="shared" si="10"/>
        <v>25.780331661897897</v>
      </c>
    </row>
    <row r="344" spans="1:23" ht="32.25" customHeight="1" x14ac:dyDescent="0.2">
      <c r="A344" s="78"/>
      <c r="B344" s="498" t="s">
        <v>406</v>
      </c>
      <c r="C344" s="498"/>
      <c r="D344" s="498"/>
      <c r="E344" s="498"/>
      <c r="F344" s="498"/>
      <c r="G344" s="498"/>
      <c r="H344" s="498"/>
      <c r="I344" s="498"/>
      <c r="J344" s="498"/>
      <c r="K344" s="498"/>
      <c r="L344" s="499"/>
      <c r="M344" s="242">
        <v>7</v>
      </c>
      <c r="N344" s="242">
        <v>9</v>
      </c>
      <c r="O344" s="243" t="s">
        <v>453</v>
      </c>
      <c r="P344" s="244" t="s">
        <v>23</v>
      </c>
      <c r="Q344" s="500"/>
      <c r="R344" s="501"/>
      <c r="S344" s="245">
        <v>3543.9769999999999</v>
      </c>
      <c r="T344" s="246">
        <v>0</v>
      </c>
      <c r="U344" s="164">
        <v>3543.9769999999999</v>
      </c>
      <c r="V344" s="273">
        <f>+'11'!AG304</f>
        <v>908.68628999999999</v>
      </c>
      <c r="W344" s="273">
        <f t="shared" si="10"/>
        <v>25.64029873783041</v>
      </c>
    </row>
    <row r="345" spans="1:23" ht="21.75" customHeight="1" x14ac:dyDescent="0.2">
      <c r="A345" s="78"/>
      <c r="B345" s="498" t="s">
        <v>345</v>
      </c>
      <c r="C345" s="498"/>
      <c r="D345" s="498"/>
      <c r="E345" s="498"/>
      <c r="F345" s="498"/>
      <c r="G345" s="498"/>
      <c r="H345" s="498"/>
      <c r="I345" s="498"/>
      <c r="J345" s="498"/>
      <c r="K345" s="498"/>
      <c r="L345" s="499"/>
      <c r="M345" s="242">
        <v>7</v>
      </c>
      <c r="N345" s="242">
        <v>9</v>
      </c>
      <c r="O345" s="243" t="s">
        <v>453</v>
      </c>
      <c r="P345" s="244" t="s">
        <v>24</v>
      </c>
      <c r="Q345" s="500"/>
      <c r="R345" s="501"/>
      <c r="S345" s="245">
        <v>1231.421</v>
      </c>
      <c r="T345" s="246">
        <v>0</v>
      </c>
      <c r="U345" s="164">
        <v>1231.421</v>
      </c>
      <c r="V345" s="273">
        <f>+V346</f>
        <v>548.72685999999999</v>
      </c>
      <c r="W345" s="273">
        <f t="shared" si="10"/>
        <v>44.56045982649313</v>
      </c>
    </row>
    <row r="346" spans="1:23" ht="21.75" customHeight="1" x14ac:dyDescent="0.2">
      <c r="A346" s="78"/>
      <c r="B346" s="498" t="s">
        <v>346</v>
      </c>
      <c r="C346" s="498"/>
      <c r="D346" s="498"/>
      <c r="E346" s="498"/>
      <c r="F346" s="498"/>
      <c r="G346" s="498"/>
      <c r="H346" s="498"/>
      <c r="I346" s="498"/>
      <c r="J346" s="498"/>
      <c r="K346" s="498"/>
      <c r="L346" s="499"/>
      <c r="M346" s="242">
        <v>7</v>
      </c>
      <c r="N346" s="242">
        <v>9</v>
      </c>
      <c r="O346" s="243" t="s">
        <v>453</v>
      </c>
      <c r="P346" s="244" t="s">
        <v>26</v>
      </c>
      <c r="Q346" s="500"/>
      <c r="R346" s="501"/>
      <c r="S346" s="245">
        <v>1231.421</v>
      </c>
      <c r="T346" s="246">
        <v>0</v>
      </c>
      <c r="U346" s="164">
        <v>1231.421</v>
      </c>
      <c r="V346" s="273">
        <f>+V347+V348</f>
        <v>548.72685999999999</v>
      </c>
      <c r="W346" s="273">
        <f t="shared" si="10"/>
        <v>44.56045982649313</v>
      </c>
    </row>
    <row r="347" spans="1:23" ht="21.75" customHeight="1" x14ac:dyDescent="0.2">
      <c r="A347" s="78"/>
      <c r="B347" s="498" t="s">
        <v>347</v>
      </c>
      <c r="C347" s="498"/>
      <c r="D347" s="498"/>
      <c r="E347" s="498"/>
      <c r="F347" s="498"/>
      <c r="G347" s="498"/>
      <c r="H347" s="498"/>
      <c r="I347" s="498"/>
      <c r="J347" s="498"/>
      <c r="K347" s="498"/>
      <c r="L347" s="499"/>
      <c r="M347" s="242">
        <v>7</v>
      </c>
      <c r="N347" s="242">
        <v>9</v>
      </c>
      <c r="O347" s="243" t="s">
        <v>453</v>
      </c>
      <c r="P347" s="244" t="s">
        <v>27</v>
      </c>
      <c r="Q347" s="500"/>
      <c r="R347" s="501"/>
      <c r="S347" s="245">
        <v>299.2</v>
      </c>
      <c r="T347" s="246">
        <v>0</v>
      </c>
      <c r="U347" s="164">
        <v>299.2</v>
      </c>
      <c r="V347" s="273">
        <f>+'11'!AG307</f>
        <v>175.29302000000001</v>
      </c>
      <c r="W347" s="273">
        <f t="shared" si="10"/>
        <v>58.58723930481284</v>
      </c>
    </row>
    <row r="348" spans="1:23" ht="12.75" customHeight="1" x14ac:dyDescent="0.2">
      <c r="A348" s="78"/>
      <c r="B348" s="498" t="s">
        <v>348</v>
      </c>
      <c r="C348" s="498"/>
      <c r="D348" s="498"/>
      <c r="E348" s="498"/>
      <c r="F348" s="498"/>
      <c r="G348" s="498"/>
      <c r="H348" s="498"/>
      <c r="I348" s="498"/>
      <c r="J348" s="498"/>
      <c r="K348" s="498"/>
      <c r="L348" s="499"/>
      <c r="M348" s="242">
        <v>7</v>
      </c>
      <c r="N348" s="242">
        <v>9</v>
      </c>
      <c r="O348" s="243" t="s">
        <v>453</v>
      </c>
      <c r="P348" s="244" t="s">
        <v>28</v>
      </c>
      <c r="Q348" s="500"/>
      <c r="R348" s="501"/>
      <c r="S348" s="245">
        <v>932.221</v>
      </c>
      <c r="T348" s="246">
        <v>0</v>
      </c>
      <c r="U348" s="164">
        <v>932.221</v>
      </c>
      <c r="V348" s="273">
        <f>+'11'!AG308</f>
        <v>373.43383999999998</v>
      </c>
      <c r="W348" s="273">
        <f t="shared" si="10"/>
        <v>40.058509731061626</v>
      </c>
    </row>
    <row r="349" spans="1:23" ht="12.75" customHeight="1" x14ac:dyDescent="0.2">
      <c r="A349" s="78"/>
      <c r="B349" s="498" t="s">
        <v>29</v>
      </c>
      <c r="C349" s="498"/>
      <c r="D349" s="498"/>
      <c r="E349" s="498"/>
      <c r="F349" s="498"/>
      <c r="G349" s="498"/>
      <c r="H349" s="498"/>
      <c r="I349" s="498"/>
      <c r="J349" s="498"/>
      <c r="K349" s="498"/>
      <c r="L349" s="499"/>
      <c r="M349" s="242">
        <v>7</v>
      </c>
      <c r="N349" s="242">
        <v>9</v>
      </c>
      <c r="O349" s="243" t="s">
        <v>453</v>
      </c>
      <c r="P349" s="244" t="s">
        <v>30</v>
      </c>
      <c r="Q349" s="500"/>
      <c r="R349" s="501"/>
      <c r="S349" s="245">
        <v>53</v>
      </c>
      <c r="T349" s="246">
        <v>0</v>
      </c>
      <c r="U349" s="164">
        <v>53</v>
      </c>
      <c r="V349" s="273">
        <f>+V350</f>
        <v>17.435210000000001</v>
      </c>
      <c r="W349" s="273">
        <f t="shared" si="10"/>
        <v>32.896622641509438</v>
      </c>
    </row>
    <row r="350" spans="1:23" ht="12.75" customHeight="1" x14ac:dyDescent="0.2">
      <c r="A350" s="78"/>
      <c r="B350" s="498" t="s">
        <v>349</v>
      </c>
      <c r="C350" s="498"/>
      <c r="D350" s="498"/>
      <c r="E350" s="498"/>
      <c r="F350" s="498"/>
      <c r="G350" s="498"/>
      <c r="H350" s="498"/>
      <c r="I350" s="498"/>
      <c r="J350" s="498"/>
      <c r="K350" s="498"/>
      <c r="L350" s="499"/>
      <c r="M350" s="242">
        <v>7</v>
      </c>
      <c r="N350" s="242">
        <v>9</v>
      </c>
      <c r="O350" s="243" t="s">
        <v>453</v>
      </c>
      <c r="P350" s="244" t="s">
        <v>31</v>
      </c>
      <c r="Q350" s="500"/>
      <c r="R350" s="501"/>
      <c r="S350" s="245">
        <v>53</v>
      </c>
      <c r="T350" s="246">
        <v>0</v>
      </c>
      <c r="U350" s="164">
        <v>53</v>
      </c>
      <c r="V350" s="273">
        <f>+V351+V352+V353</f>
        <v>17.435210000000001</v>
      </c>
      <c r="W350" s="273">
        <f t="shared" si="10"/>
        <v>32.896622641509438</v>
      </c>
    </row>
    <row r="351" spans="1:23" ht="21.75" customHeight="1" x14ac:dyDescent="0.2">
      <c r="A351" s="78"/>
      <c r="B351" s="498" t="s">
        <v>32</v>
      </c>
      <c r="C351" s="498"/>
      <c r="D351" s="498"/>
      <c r="E351" s="498"/>
      <c r="F351" s="498"/>
      <c r="G351" s="498"/>
      <c r="H351" s="498"/>
      <c r="I351" s="498"/>
      <c r="J351" s="498"/>
      <c r="K351" s="498"/>
      <c r="L351" s="499"/>
      <c r="M351" s="242">
        <v>7</v>
      </c>
      <c r="N351" s="242">
        <v>9</v>
      </c>
      <c r="O351" s="243" t="s">
        <v>453</v>
      </c>
      <c r="P351" s="244" t="s">
        <v>33</v>
      </c>
      <c r="Q351" s="500"/>
      <c r="R351" s="501"/>
      <c r="S351" s="245">
        <v>33</v>
      </c>
      <c r="T351" s="246">
        <v>0</v>
      </c>
      <c r="U351" s="164">
        <v>33</v>
      </c>
      <c r="V351" s="273">
        <f>+'11'!AG311</f>
        <v>7.2750000000000004</v>
      </c>
      <c r="W351" s="273">
        <f t="shared" si="10"/>
        <v>22.045454545454547</v>
      </c>
    </row>
    <row r="352" spans="1:23" ht="12.75" customHeight="1" x14ac:dyDescent="0.2">
      <c r="A352" s="78"/>
      <c r="B352" s="498" t="s">
        <v>350</v>
      </c>
      <c r="C352" s="498"/>
      <c r="D352" s="498"/>
      <c r="E352" s="498"/>
      <c r="F352" s="498"/>
      <c r="G352" s="498"/>
      <c r="H352" s="498"/>
      <c r="I352" s="498"/>
      <c r="J352" s="498"/>
      <c r="K352" s="498"/>
      <c r="L352" s="499"/>
      <c r="M352" s="242">
        <v>7</v>
      </c>
      <c r="N352" s="242">
        <v>9</v>
      </c>
      <c r="O352" s="243" t="s">
        <v>453</v>
      </c>
      <c r="P352" s="244" t="s">
        <v>34</v>
      </c>
      <c r="Q352" s="500"/>
      <c r="R352" s="501"/>
      <c r="S352" s="245">
        <v>6</v>
      </c>
      <c r="T352" s="246">
        <v>0</v>
      </c>
      <c r="U352" s="164">
        <v>6</v>
      </c>
      <c r="V352" s="273">
        <f>+'11'!AG312</f>
        <v>6</v>
      </c>
      <c r="W352" s="273">
        <f t="shared" si="10"/>
        <v>100</v>
      </c>
    </row>
    <row r="353" spans="1:23" ht="12.75" customHeight="1" x14ac:dyDescent="0.2">
      <c r="A353" s="78"/>
      <c r="B353" s="498" t="s">
        <v>81</v>
      </c>
      <c r="C353" s="498"/>
      <c r="D353" s="498"/>
      <c r="E353" s="498"/>
      <c r="F353" s="498"/>
      <c r="G353" s="498"/>
      <c r="H353" s="498"/>
      <c r="I353" s="498"/>
      <c r="J353" s="498"/>
      <c r="K353" s="498"/>
      <c r="L353" s="499"/>
      <c r="M353" s="242">
        <v>7</v>
      </c>
      <c r="N353" s="242">
        <v>9</v>
      </c>
      <c r="O353" s="243" t="s">
        <v>453</v>
      </c>
      <c r="P353" s="244" t="s">
        <v>82</v>
      </c>
      <c r="Q353" s="500"/>
      <c r="R353" s="501"/>
      <c r="S353" s="245">
        <v>14</v>
      </c>
      <c r="T353" s="246">
        <v>0</v>
      </c>
      <c r="U353" s="164">
        <v>14</v>
      </c>
      <c r="V353" s="273">
        <f>+'11'!AG313</f>
        <v>4.1602100000000002</v>
      </c>
      <c r="W353" s="273">
        <f t="shared" si="10"/>
        <v>29.715785714285715</v>
      </c>
    </row>
    <row r="354" spans="1:23" ht="32.25" customHeight="1" x14ac:dyDescent="0.2">
      <c r="A354" s="78"/>
      <c r="B354" s="498" t="s">
        <v>357</v>
      </c>
      <c r="C354" s="498"/>
      <c r="D354" s="498"/>
      <c r="E354" s="498"/>
      <c r="F354" s="498"/>
      <c r="G354" s="498"/>
      <c r="H354" s="498"/>
      <c r="I354" s="498"/>
      <c r="J354" s="498"/>
      <c r="K354" s="498"/>
      <c r="L354" s="499"/>
      <c r="M354" s="242">
        <v>7</v>
      </c>
      <c r="N354" s="242">
        <v>9</v>
      </c>
      <c r="O354" s="243" t="s">
        <v>358</v>
      </c>
      <c r="P354" s="244">
        <v>0</v>
      </c>
      <c r="Q354" s="500"/>
      <c r="R354" s="501"/>
      <c r="S354" s="245">
        <v>463.4</v>
      </c>
      <c r="T354" s="246">
        <v>0</v>
      </c>
      <c r="U354" s="164">
        <v>463.4</v>
      </c>
      <c r="V354" s="273">
        <f>+V355</f>
        <v>70.915750000000003</v>
      </c>
      <c r="W354" s="273">
        <f t="shared" si="10"/>
        <v>15.303355632283125</v>
      </c>
    </row>
    <row r="355" spans="1:23" ht="32.25" customHeight="1" x14ac:dyDescent="0.2">
      <c r="A355" s="78"/>
      <c r="B355" s="498" t="s">
        <v>454</v>
      </c>
      <c r="C355" s="498"/>
      <c r="D355" s="498"/>
      <c r="E355" s="498"/>
      <c r="F355" s="498"/>
      <c r="G355" s="498"/>
      <c r="H355" s="498"/>
      <c r="I355" s="498"/>
      <c r="J355" s="498"/>
      <c r="K355" s="498"/>
      <c r="L355" s="499"/>
      <c r="M355" s="242">
        <v>7</v>
      </c>
      <c r="N355" s="242">
        <v>9</v>
      </c>
      <c r="O355" s="243" t="s">
        <v>455</v>
      </c>
      <c r="P355" s="244">
        <v>0</v>
      </c>
      <c r="Q355" s="500"/>
      <c r="R355" s="501"/>
      <c r="S355" s="245">
        <v>463.4</v>
      </c>
      <c r="T355" s="246">
        <v>0</v>
      </c>
      <c r="U355" s="164">
        <v>463.4</v>
      </c>
      <c r="V355" s="273">
        <f>+V356+V361</f>
        <v>70.915750000000003</v>
      </c>
      <c r="W355" s="273">
        <f t="shared" si="10"/>
        <v>15.303355632283125</v>
      </c>
    </row>
    <row r="356" spans="1:23" ht="53.25" customHeight="1" x14ac:dyDescent="0.2">
      <c r="A356" s="78"/>
      <c r="B356" s="498" t="s">
        <v>17</v>
      </c>
      <c r="C356" s="498"/>
      <c r="D356" s="498"/>
      <c r="E356" s="498"/>
      <c r="F356" s="498"/>
      <c r="G356" s="498"/>
      <c r="H356" s="498"/>
      <c r="I356" s="498"/>
      <c r="J356" s="498"/>
      <c r="K356" s="498"/>
      <c r="L356" s="499"/>
      <c r="M356" s="242">
        <v>7</v>
      </c>
      <c r="N356" s="242">
        <v>9</v>
      </c>
      <c r="O356" s="243" t="s">
        <v>455</v>
      </c>
      <c r="P356" s="244" t="s">
        <v>18</v>
      </c>
      <c r="Q356" s="500"/>
      <c r="R356" s="501"/>
      <c r="S356" s="245">
        <v>405.58300000000003</v>
      </c>
      <c r="T356" s="246">
        <v>0</v>
      </c>
      <c r="U356" s="164">
        <v>405.58300000000003</v>
      </c>
      <c r="V356" s="273">
        <f>+V357</f>
        <v>68.983109999999996</v>
      </c>
      <c r="W356" s="273">
        <f t="shared" si="10"/>
        <v>17.008382994356268</v>
      </c>
    </row>
    <row r="357" spans="1:23" ht="21.75" customHeight="1" x14ac:dyDescent="0.2">
      <c r="A357" s="78"/>
      <c r="B357" s="498" t="s">
        <v>37</v>
      </c>
      <c r="C357" s="498"/>
      <c r="D357" s="498"/>
      <c r="E357" s="498"/>
      <c r="F357" s="498"/>
      <c r="G357" s="498"/>
      <c r="H357" s="498"/>
      <c r="I357" s="498"/>
      <c r="J357" s="498"/>
      <c r="K357" s="498"/>
      <c r="L357" s="499"/>
      <c r="M357" s="242">
        <v>7</v>
      </c>
      <c r="N357" s="242">
        <v>9</v>
      </c>
      <c r="O357" s="243" t="s">
        <v>455</v>
      </c>
      <c r="P357" s="244" t="s">
        <v>38</v>
      </c>
      <c r="Q357" s="500"/>
      <c r="R357" s="501"/>
      <c r="S357" s="245">
        <v>405.58300000000003</v>
      </c>
      <c r="T357" s="246">
        <v>0</v>
      </c>
      <c r="U357" s="164">
        <v>405.58300000000003</v>
      </c>
      <c r="V357" s="273">
        <f>+V358+V359+V360</f>
        <v>68.983109999999996</v>
      </c>
      <c r="W357" s="273">
        <f t="shared" si="10"/>
        <v>17.008382994356268</v>
      </c>
    </row>
    <row r="358" spans="1:23" ht="21.75" customHeight="1" x14ac:dyDescent="0.2">
      <c r="A358" s="78"/>
      <c r="B358" s="498" t="s">
        <v>333</v>
      </c>
      <c r="C358" s="498"/>
      <c r="D358" s="498"/>
      <c r="E358" s="498"/>
      <c r="F358" s="498"/>
      <c r="G358" s="498"/>
      <c r="H358" s="498"/>
      <c r="I358" s="498"/>
      <c r="J358" s="498"/>
      <c r="K358" s="498"/>
      <c r="L358" s="499"/>
      <c r="M358" s="242">
        <v>7</v>
      </c>
      <c r="N358" s="242">
        <v>9</v>
      </c>
      <c r="O358" s="243" t="s">
        <v>455</v>
      </c>
      <c r="P358" s="244" t="s">
        <v>39</v>
      </c>
      <c r="Q358" s="500"/>
      <c r="R358" s="501"/>
      <c r="S358" s="245">
        <v>303.05900000000003</v>
      </c>
      <c r="T358" s="246">
        <v>0</v>
      </c>
      <c r="U358" s="164">
        <v>303.05900000000003</v>
      </c>
      <c r="V358" s="273">
        <f>+'11'!AG533</f>
        <v>52.982419999999998</v>
      </c>
      <c r="W358" s="273">
        <f t="shared" si="10"/>
        <v>17.482543003177597</v>
      </c>
    </row>
    <row r="359" spans="1:23" ht="32.25" customHeight="1" x14ac:dyDescent="0.2">
      <c r="A359" s="78"/>
      <c r="B359" s="498" t="s">
        <v>351</v>
      </c>
      <c r="C359" s="498"/>
      <c r="D359" s="498"/>
      <c r="E359" s="498"/>
      <c r="F359" s="498"/>
      <c r="G359" s="498"/>
      <c r="H359" s="498"/>
      <c r="I359" s="498"/>
      <c r="J359" s="498"/>
      <c r="K359" s="498"/>
      <c r="L359" s="499"/>
      <c r="M359" s="242">
        <v>7</v>
      </c>
      <c r="N359" s="242">
        <v>9</v>
      </c>
      <c r="O359" s="243" t="s">
        <v>455</v>
      </c>
      <c r="P359" s="244" t="s">
        <v>40</v>
      </c>
      <c r="Q359" s="500"/>
      <c r="R359" s="501"/>
      <c r="S359" s="245">
        <v>11</v>
      </c>
      <c r="T359" s="246">
        <v>0</v>
      </c>
      <c r="U359" s="164">
        <v>11</v>
      </c>
      <c r="V359" s="273">
        <f>+'11'!AG534</f>
        <v>0</v>
      </c>
      <c r="W359" s="273">
        <f t="shared" si="10"/>
        <v>0</v>
      </c>
    </row>
    <row r="360" spans="1:23" ht="32.25" customHeight="1" x14ac:dyDescent="0.2">
      <c r="A360" s="78"/>
      <c r="B360" s="498" t="s">
        <v>334</v>
      </c>
      <c r="C360" s="498"/>
      <c r="D360" s="498"/>
      <c r="E360" s="498"/>
      <c r="F360" s="498"/>
      <c r="G360" s="498"/>
      <c r="H360" s="498"/>
      <c r="I360" s="498"/>
      <c r="J360" s="498"/>
      <c r="K360" s="498"/>
      <c r="L360" s="499"/>
      <c r="M360" s="242">
        <v>7</v>
      </c>
      <c r="N360" s="242">
        <v>9</v>
      </c>
      <c r="O360" s="243" t="s">
        <v>455</v>
      </c>
      <c r="P360" s="244" t="s">
        <v>41</v>
      </c>
      <c r="Q360" s="500"/>
      <c r="R360" s="501"/>
      <c r="S360" s="245">
        <v>91.524000000000001</v>
      </c>
      <c r="T360" s="246">
        <v>0</v>
      </c>
      <c r="U360" s="164">
        <v>91.524000000000001</v>
      </c>
      <c r="V360" s="273">
        <f>+'11'!AG535</f>
        <v>16.000689999999999</v>
      </c>
      <c r="W360" s="273">
        <f t="shared" si="10"/>
        <v>17.482507320484242</v>
      </c>
    </row>
    <row r="361" spans="1:23" ht="21.75" customHeight="1" x14ac:dyDescent="0.2">
      <c r="A361" s="78"/>
      <c r="B361" s="498" t="s">
        <v>345</v>
      </c>
      <c r="C361" s="498"/>
      <c r="D361" s="498"/>
      <c r="E361" s="498"/>
      <c r="F361" s="498"/>
      <c r="G361" s="498"/>
      <c r="H361" s="498"/>
      <c r="I361" s="498"/>
      <c r="J361" s="498"/>
      <c r="K361" s="498"/>
      <c r="L361" s="499"/>
      <c r="M361" s="242">
        <v>7</v>
      </c>
      <c r="N361" s="242">
        <v>9</v>
      </c>
      <c r="O361" s="243" t="s">
        <v>455</v>
      </c>
      <c r="P361" s="244" t="s">
        <v>24</v>
      </c>
      <c r="Q361" s="500"/>
      <c r="R361" s="501"/>
      <c r="S361" s="245">
        <v>57.817</v>
      </c>
      <c r="T361" s="246">
        <v>0</v>
      </c>
      <c r="U361" s="164">
        <v>57.817</v>
      </c>
      <c r="V361" s="273">
        <f>+V362</f>
        <v>1.9326399999999999</v>
      </c>
      <c r="W361" s="273">
        <f t="shared" si="10"/>
        <v>3.3426846775169929</v>
      </c>
    </row>
    <row r="362" spans="1:23" ht="21.75" customHeight="1" x14ac:dyDescent="0.2">
      <c r="A362" s="78"/>
      <c r="B362" s="498" t="s">
        <v>346</v>
      </c>
      <c r="C362" s="498"/>
      <c r="D362" s="498"/>
      <c r="E362" s="498"/>
      <c r="F362" s="498"/>
      <c r="G362" s="498"/>
      <c r="H362" s="498"/>
      <c r="I362" s="498"/>
      <c r="J362" s="498"/>
      <c r="K362" s="498"/>
      <c r="L362" s="499"/>
      <c r="M362" s="242">
        <v>7</v>
      </c>
      <c r="N362" s="242">
        <v>9</v>
      </c>
      <c r="O362" s="243" t="s">
        <v>455</v>
      </c>
      <c r="P362" s="244" t="s">
        <v>26</v>
      </c>
      <c r="Q362" s="500"/>
      <c r="R362" s="501"/>
      <c r="S362" s="245">
        <v>57.817</v>
      </c>
      <c r="T362" s="246">
        <v>0</v>
      </c>
      <c r="U362" s="164">
        <v>57.817</v>
      </c>
      <c r="V362" s="273">
        <f>+V363+V364</f>
        <v>1.9326399999999999</v>
      </c>
      <c r="W362" s="273">
        <f t="shared" si="10"/>
        <v>3.3426846775169929</v>
      </c>
    </row>
    <row r="363" spans="1:23" ht="21.75" customHeight="1" x14ac:dyDescent="0.2">
      <c r="A363" s="78"/>
      <c r="B363" s="498" t="s">
        <v>347</v>
      </c>
      <c r="C363" s="498"/>
      <c r="D363" s="498"/>
      <c r="E363" s="498"/>
      <c r="F363" s="498"/>
      <c r="G363" s="498"/>
      <c r="H363" s="498"/>
      <c r="I363" s="498"/>
      <c r="J363" s="498"/>
      <c r="K363" s="498"/>
      <c r="L363" s="499"/>
      <c r="M363" s="242">
        <v>7</v>
      </c>
      <c r="N363" s="242">
        <v>9</v>
      </c>
      <c r="O363" s="243" t="s">
        <v>455</v>
      </c>
      <c r="P363" s="244" t="s">
        <v>27</v>
      </c>
      <c r="Q363" s="500"/>
      <c r="R363" s="501"/>
      <c r="S363" s="245">
        <v>12</v>
      </c>
      <c r="T363" s="246">
        <v>0</v>
      </c>
      <c r="U363" s="164">
        <v>12</v>
      </c>
      <c r="V363" s="273">
        <f>+'11'!AG538</f>
        <v>0</v>
      </c>
      <c r="W363" s="273">
        <f t="shared" si="10"/>
        <v>0</v>
      </c>
    </row>
    <row r="364" spans="1:23" ht="12.75" customHeight="1" x14ac:dyDescent="0.2">
      <c r="A364" s="78"/>
      <c r="B364" s="498" t="s">
        <v>348</v>
      </c>
      <c r="C364" s="498"/>
      <c r="D364" s="498"/>
      <c r="E364" s="498"/>
      <c r="F364" s="498"/>
      <c r="G364" s="498"/>
      <c r="H364" s="498"/>
      <c r="I364" s="498"/>
      <c r="J364" s="498"/>
      <c r="K364" s="498"/>
      <c r="L364" s="499"/>
      <c r="M364" s="242">
        <v>7</v>
      </c>
      <c r="N364" s="242">
        <v>9</v>
      </c>
      <c r="O364" s="243" t="s">
        <v>455</v>
      </c>
      <c r="P364" s="244" t="s">
        <v>28</v>
      </c>
      <c r="Q364" s="500"/>
      <c r="R364" s="501"/>
      <c r="S364" s="245">
        <v>45.817</v>
      </c>
      <c r="T364" s="246">
        <v>0</v>
      </c>
      <c r="U364" s="164">
        <v>45.817</v>
      </c>
      <c r="V364" s="273">
        <f>+'11'!AG539</f>
        <v>1.9326399999999999</v>
      </c>
      <c r="W364" s="273">
        <f t="shared" si="10"/>
        <v>4.2181722941266342</v>
      </c>
    </row>
    <row r="365" spans="1:23" ht="12.75" customHeight="1" x14ac:dyDescent="0.2">
      <c r="A365" s="78"/>
      <c r="B365" s="510" t="s">
        <v>456</v>
      </c>
      <c r="C365" s="510"/>
      <c r="D365" s="510"/>
      <c r="E365" s="510"/>
      <c r="F365" s="510"/>
      <c r="G365" s="510"/>
      <c r="H365" s="510"/>
      <c r="I365" s="510"/>
      <c r="J365" s="510"/>
      <c r="K365" s="510"/>
      <c r="L365" s="511"/>
      <c r="M365" s="232">
        <v>8</v>
      </c>
      <c r="N365" s="232">
        <v>0</v>
      </c>
      <c r="O365" s="233">
        <v>0</v>
      </c>
      <c r="P365" s="234">
        <v>0</v>
      </c>
      <c r="Q365" s="512"/>
      <c r="R365" s="513"/>
      <c r="S365" s="235">
        <v>51834.004999999997</v>
      </c>
      <c r="T365" s="236">
        <v>0</v>
      </c>
      <c r="U365" s="165">
        <v>51834.004999999997</v>
      </c>
      <c r="V365" s="273">
        <f>+V366+V421</f>
        <v>13697.876270000001</v>
      </c>
      <c r="W365" s="273">
        <f t="shared" si="10"/>
        <v>26.426428499977959</v>
      </c>
    </row>
    <row r="366" spans="1:23" ht="12.75" customHeight="1" x14ac:dyDescent="0.25">
      <c r="A366" s="78"/>
      <c r="B366" s="502" t="s">
        <v>13</v>
      </c>
      <c r="C366" s="502"/>
      <c r="D366" s="502"/>
      <c r="E366" s="502"/>
      <c r="F366" s="502"/>
      <c r="G366" s="502"/>
      <c r="H366" s="502"/>
      <c r="I366" s="502"/>
      <c r="J366" s="502"/>
      <c r="K366" s="502"/>
      <c r="L366" s="503"/>
      <c r="M366" s="237">
        <v>8</v>
      </c>
      <c r="N366" s="237">
        <v>1</v>
      </c>
      <c r="O366" s="238">
        <v>0</v>
      </c>
      <c r="P366" s="239">
        <v>0</v>
      </c>
      <c r="Q366" s="504"/>
      <c r="R366" s="505"/>
      <c r="S366" s="240">
        <v>49108.256999999998</v>
      </c>
      <c r="T366" s="241">
        <v>0</v>
      </c>
      <c r="U366" s="274">
        <v>49108.256999999998</v>
      </c>
      <c r="V366" s="273">
        <f>+V367+V373+V379+V385+V392+V407+V413</f>
        <v>13007.02903</v>
      </c>
      <c r="W366" s="273">
        <f t="shared" si="10"/>
        <v>26.486440009467248</v>
      </c>
    </row>
    <row r="367" spans="1:23" ht="21.75" customHeight="1" x14ac:dyDescent="0.2">
      <c r="A367" s="78"/>
      <c r="B367" s="498" t="s">
        <v>457</v>
      </c>
      <c r="C367" s="498"/>
      <c r="D367" s="498"/>
      <c r="E367" s="498"/>
      <c r="F367" s="498"/>
      <c r="G367" s="498"/>
      <c r="H367" s="498"/>
      <c r="I367" s="498"/>
      <c r="J367" s="498"/>
      <c r="K367" s="498"/>
      <c r="L367" s="499"/>
      <c r="M367" s="242">
        <v>8</v>
      </c>
      <c r="N367" s="242">
        <v>1</v>
      </c>
      <c r="O367" s="243" t="s">
        <v>458</v>
      </c>
      <c r="P367" s="244">
        <v>0</v>
      </c>
      <c r="Q367" s="500"/>
      <c r="R367" s="501"/>
      <c r="S367" s="245">
        <v>10474.677</v>
      </c>
      <c r="T367" s="246">
        <v>0</v>
      </c>
      <c r="U367" s="164">
        <v>10474.677</v>
      </c>
      <c r="V367" s="273">
        <f>+V368</f>
        <v>2536.91876</v>
      </c>
      <c r="W367" s="273">
        <f t="shared" si="10"/>
        <v>24.219541662239326</v>
      </c>
    </row>
    <row r="368" spans="1:23" ht="12.75" customHeight="1" x14ac:dyDescent="0.2">
      <c r="A368" s="78"/>
      <c r="B368" s="498" t="s">
        <v>459</v>
      </c>
      <c r="C368" s="498"/>
      <c r="D368" s="498"/>
      <c r="E368" s="498"/>
      <c r="F368" s="498"/>
      <c r="G368" s="498"/>
      <c r="H368" s="498"/>
      <c r="I368" s="498"/>
      <c r="J368" s="498"/>
      <c r="K368" s="498"/>
      <c r="L368" s="499"/>
      <c r="M368" s="242">
        <v>8</v>
      </c>
      <c r="N368" s="242">
        <v>1</v>
      </c>
      <c r="O368" s="243" t="s">
        <v>460</v>
      </c>
      <c r="P368" s="244">
        <v>0</v>
      </c>
      <c r="Q368" s="500"/>
      <c r="R368" s="501"/>
      <c r="S368" s="245">
        <v>10474.677</v>
      </c>
      <c r="T368" s="246">
        <v>0</v>
      </c>
      <c r="U368" s="164">
        <v>10474.677</v>
      </c>
      <c r="V368" s="273">
        <f>+V369</f>
        <v>2536.91876</v>
      </c>
      <c r="W368" s="273">
        <f t="shared" si="10"/>
        <v>24.219541662239326</v>
      </c>
    </row>
    <row r="369" spans="1:23" ht="21.75" customHeight="1" x14ac:dyDescent="0.2">
      <c r="A369" s="78"/>
      <c r="B369" s="498" t="s">
        <v>14</v>
      </c>
      <c r="C369" s="498"/>
      <c r="D369" s="498"/>
      <c r="E369" s="498"/>
      <c r="F369" s="498"/>
      <c r="G369" s="498"/>
      <c r="H369" s="498"/>
      <c r="I369" s="498"/>
      <c r="J369" s="498"/>
      <c r="K369" s="498"/>
      <c r="L369" s="499"/>
      <c r="M369" s="242">
        <v>8</v>
      </c>
      <c r="N369" s="242">
        <v>1</v>
      </c>
      <c r="O369" s="243" t="s">
        <v>461</v>
      </c>
      <c r="P369" s="244">
        <v>0</v>
      </c>
      <c r="Q369" s="500"/>
      <c r="R369" s="501"/>
      <c r="S369" s="245">
        <v>10474.677</v>
      </c>
      <c r="T369" s="246">
        <v>0</v>
      </c>
      <c r="U369" s="164">
        <v>10474.677</v>
      </c>
      <c r="V369" s="273">
        <f>+V370</f>
        <v>2536.91876</v>
      </c>
      <c r="W369" s="273">
        <f t="shared" si="10"/>
        <v>24.219541662239326</v>
      </c>
    </row>
    <row r="370" spans="1:23" ht="21.75" customHeight="1" x14ac:dyDescent="0.2">
      <c r="A370" s="78"/>
      <c r="B370" s="498" t="s">
        <v>436</v>
      </c>
      <c r="C370" s="498"/>
      <c r="D370" s="498"/>
      <c r="E370" s="498"/>
      <c r="F370" s="498"/>
      <c r="G370" s="498"/>
      <c r="H370" s="498"/>
      <c r="I370" s="498"/>
      <c r="J370" s="498"/>
      <c r="K370" s="498"/>
      <c r="L370" s="499"/>
      <c r="M370" s="242">
        <v>8</v>
      </c>
      <c r="N370" s="242">
        <v>1</v>
      </c>
      <c r="O370" s="243" t="s">
        <v>461</v>
      </c>
      <c r="P370" s="244" t="s">
        <v>8</v>
      </c>
      <c r="Q370" s="500"/>
      <c r="R370" s="501"/>
      <c r="S370" s="245">
        <v>10474.677</v>
      </c>
      <c r="T370" s="246">
        <v>0</v>
      </c>
      <c r="U370" s="164">
        <v>10474.677</v>
      </c>
      <c r="V370" s="273">
        <f>+V371</f>
        <v>2536.91876</v>
      </c>
      <c r="W370" s="273">
        <f t="shared" si="10"/>
        <v>24.219541662239326</v>
      </c>
    </row>
    <row r="371" spans="1:23" ht="12.75" customHeight="1" x14ac:dyDescent="0.2">
      <c r="A371" s="78"/>
      <c r="B371" s="498" t="s">
        <v>9</v>
      </c>
      <c r="C371" s="498"/>
      <c r="D371" s="498"/>
      <c r="E371" s="498"/>
      <c r="F371" s="498"/>
      <c r="G371" s="498"/>
      <c r="H371" s="498"/>
      <c r="I371" s="498"/>
      <c r="J371" s="498"/>
      <c r="K371" s="498"/>
      <c r="L371" s="499"/>
      <c r="M371" s="242">
        <v>8</v>
      </c>
      <c r="N371" s="242">
        <v>1</v>
      </c>
      <c r="O371" s="243" t="s">
        <v>461</v>
      </c>
      <c r="P371" s="244" t="s">
        <v>10</v>
      </c>
      <c r="Q371" s="500"/>
      <c r="R371" s="501"/>
      <c r="S371" s="245">
        <v>10474.677</v>
      </c>
      <c r="T371" s="246">
        <v>0</v>
      </c>
      <c r="U371" s="164">
        <v>10474.677</v>
      </c>
      <c r="V371" s="273">
        <f>+V372</f>
        <v>2536.91876</v>
      </c>
      <c r="W371" s="273">
        <f t="shared" si="10"/>
        <v>24.219541662239326</v>
      </c>
    </row>
    <row r="372" spans="1:23" ht="42.75" customHeight="1" x14ac:dyDescent="0.2">
      <c r="A372" s="78"/>
      <c r="B372" s="498" t="s">
        <v>11</v>
      </c>
      <c r="C372" s="498"/>
      <c r="D372" s="498"/>
      <c r="E372" s="498"/>
      <c r="F372" s="498"/>
      <c r="G372" s="498"/>
      <c r="H372" s="498"/>
      <c r="I372" s="498"/>
      <c r="J372" s="498"/>
      <c r="K372" s="498"/>
      <c r="L372" s="499"/>
      <c r="M372" s="242">
        <v>8</v>
      </c>
      <c r="N372" s="242">
        <v>1</v>
      </c>
      <c r="O372" s="243" t="s">
        <v>461</v>
      </c>
      <c r="P372" s="244" t="s">
        <v>12</v>
      </c>
      <c r="Q372" s="500"/>
      <c r="R372" s="501"/>
      <c r="S372" s="245">
        <v>10474.677</v>
      </c>
      <c r="T372" s="246">
        <v>0</v>
      </c>
      <c r="U372" s="164">
        <v>10474.677</v>
      </c>
      <c r="V372" s="273">
        <f>+'11'!AG34</f>
        <v>2536.91876</v>
      </c>
      <c r="W372" s="273">
        <f t="shared" si="10"/>
        <v>24.219541662239326</v>
      </c>
    </row>
    <row r="373" spans="1:23" ht="21.75" customHeight="1" x14ac:dyDescent="0.2">
      <c r="A373" s="78"/>
      <c r="B373" s="498" t="s">
        <v>457</v>
      </c>
      <c r="C373" s="498"/>
      <c r="D373" s="498"/>
      <c r="E373" s="498"/>
      <c r="F373" s="498"/>
      <c r="G373" s="498"/>
      <c r="H373" s="498"/>
      <c r="I373" s="498"/>
      <c r="J373" s="498"/>
      <c r="K373" s="498"/>
      <c r="L373" s="499"/>
      <c r="M373" s="242">
        <v>8</v>
      </c>
      <c r="N373" s="242">
        <v>1</v>
      </c>
      <c r="O373" s="243" t="s">
        <v>458</v>
      </c>
      <c r="P373" s="244">
        <v>0</v>
      </c>
      <c r="Q373" s="500"/>
      <c r="R373" s="501"/>
      <c r="S373" s="245">
        <v>6.3159999999999998</v>
      </c>
      <c r="T373" s="246">
        <v>0</v>
      </c>
      <c r="U373" s="164">
        <v>6.3159999999999998</v>
      </c>
      <c r="V373" s="273">
        <f>+V374</f>
        <v>0</v>
      </c>
      <c r="W373" s="273">
        <f t="shared" si="10"/>
        <v>0</v>
      </c>
    </row>
    <row r="374" spans="1:23" ht="12.75" customHeight="1" x14ac:dyDescent="0.2">
      <c r="A374" s="78"/>
      <c r="B374" s="498" t="s">
        <v>459</v>
      </c>
      <c r="C374" s="498"/>
      <c r="D374" s="498"/>
      <c r="E374" s="498"/>
      <c r="F374" s="498"/>
      <c r="G374" s="498"/>
      <c r="H374" s="498"/>
      <c r="I374" s="498"/>
      <c r="J374" s="498"/>
      <c r="K374" s="498"/>
      <c r="L374" s="499"/>
      <c r="M374" s="242">
        <v>8</v>
      </c>
      <c r="N374" s="242">
        <v>1</v>
      </c>
      <c r="O374" s="243" t="s">
        <v>460</v>
      </c>
      <c r="P374" s="244">
        <v>0</v>
      </c>
      <c r="Q374" s="500"/>
      <c r="R374" s="501"/>
      <c r="S374" s="245">
        <v>6.3159999999999998</v>
      </c>
      <c r="T374" s="246">
        <v>0</v>
      </c>
      <c r="U374" s="164">
        <v>6.3159999999999998</v>
      </c>
      <c r="V374" s="273">
        <f>+V375</f>
        <v>0</v>
      </c>
      <c r="W374" s="273">
        <f t="shared" si="10"/>
        <v>0</v>
      </c>
    </row>
    <row r="375" spans="1:23" ht="21.75" customHeight="1" x14ac:dyDescent="0.2">
      <c r="A375" s="78"/>
      <c r="B375" s="498" t="s">
        <v>563</v>
      </c>
      <c r="C375" s="498"/>
      <c r="D375" s="498"/>
      <c r="E375" s="498"/>
      <c r="F375" s="498"/>
      <c r="G375" s="498"/>
      <c r="H375" s="498"/>
      <c r="I375" s="498"/>
      <c r="J375" s="498"/>
      <c r="K375" s="498"/>
      <c r="L375" s="499"/>
      <c r="M375" s="242">
        <v>8</v>
      </c>
      <c r="N375" s="242">
        <v>1</v>
      </c>
      <c r="O375" s="243" t="s">
        <v>564</v>
      </c>
      <c r="P375" s="244">
        <v>0</v>
      </c>
      <c r="Q375" s="500"/>
      <c r="R375" s="501"/>
      <c r="S375" s="245">
        <v>6.3159999999999998</v>
      </c>
      <c r="T375" s="246">
        <v>0</v>
      </c>
      <c r="U375" s="164">
        <v>6.3159999999999998</v>
      </c>
      <c r="V375" s="273">
        <f>+V376</f>
        <v>0</v>
      </c>
      <c r="W375" s="273">
        <f t="shared" si="10"/>
        <v>0</v>
      </c>
    </row>
    <row r="376" spans="1:23" ht="21.75" customHeight="1" x14ac:dyDescent="0.2">
      <c r="A376" s="78"/>
      <c r="B376" s="498" t="s">
        <v>436</v>
      </c>
      <c r="C376" s="498"/>
      <c r="D376" s="498"/>
      <c r="E376" s="498"/>
      <c r="F376" s="498"/>
      <c r="G376" s="498"/>
      <c r="H376" s="498"/>
      <c r="I376" s="498"/>
      <c r="J376" s="498"/>
      <c r="K376" s="498"/>
      <c r="L376" s="499"/>
      <c r="M376" s="242">
        <v>8</v>
      </c>
      <c r="N376" s="242">
        <v>1</v>
      </c>
      <c r="O376" s="243" t="s">
        <v>564</v>
      </c>
      <c r="P376" s="244" t="s">
        <v>8</v>
      </c>
      <c r="Q376" s="500"/>
      <c r="R376" s="501"/>
      <c r="S376" s="245">
        <v>6.3159999999999998</v>
      </c>
      <c r="T376" s="246">
        <v>0</v>
      </c>
      <c r="U376" s="164">
        <v>6.3159999999999998</v>
      </c>
      <c r="V376" s="273">
        <f>+V377</f>
        <v>0</v>
      </c>
      <c r="W376" s="273">
        <f t="shared" si="10"/>
        <v>0</v>
      </c>
    </row>
    <row r="377" spans="1:23" ht="12.75" customHeight="1" x14ac:dyDescent="0.2">
      <c r="A377" s="78"/>
      <c r="B377" s="498" t="s">
        <v>9</v>
      </c>
      <c r="C377" s="498"/>
      <c r="D377" s="498"/>
      <c r="E377" s="498"/>
      <c r="F377" s="498"/>
      <c r="G377" s="498"/>
      <c r="H377" s="498"/>
      <c r="I377" s="498"/>
      <c r="J377" s="498"/>
      <c r="K377" s="498"/>
      <c r="L377" s="499"/>
      <c r="M377" s="242">
        <v>8</v>
      </c>
      <c r="N377" s="242">
        <v>1</v>
      </c>
      <c r="O377" s="243" t="s">
        <v>564</v>
      </c>
      <c r="P377" s="244" t="s">
        <v>10</v>
      </c>
      <c r="Q377" s="500"/>
      <c r="R377" s="501"/>
      <c r="S377" s="245">
        <v>6.3159999999999998</v>
      </c>
      <c r="T377" s="246">
        <v>0</v>
      </c>
      <c r="U377" s="164">
        <v>6.3159999999999998</v>
      </c>
      <c r="V377" s="273">
        <f>+V378</f>
        <v>0</v>
      </c>
      <c r="W377" s="273">
        <f t="shared" si="10"/>
        <v>0</v>
      </c>
    </row>
    <row r="378" spans="1:23" ht="12.75" customHeight="1" x14ac:dyDescent="0.2">
      <c r="A378" s="78"/>
      <c r="B378" s="498" t="s">
        <v>152</v>
      </c>
      <c r="C378" s="498"/>
      <c r="D378" s="498"/>
      <c r="E378" s="498"/>
      <c r="F378" s="498"/>
      <c r="G378" s="498"/>
      <c r="H378" s="498"/>
      <c r="I378" s="498"/>
      <c r="J378" s="498"/>
      <c r="K378" s="498"/>
      <c r="L378" s="499"/>
      <c r="M378" s="242">
        <v>8</v>
      </c>
      <c r="N378" s="242">
        <v>1</v>
      </c>
      <c r="O378" s="243" t="s">
        <v>564</v>
      </c>
      <c r="P378" s="244" t="s">
        <v>151</v>
      </c>
      <c r="Q378" s="500"/>
      <c r="R378" s="501"/>
      <c r="S378" s="245">
        <v>6.3159999999999998</v>
      </c>
      <c r="T378" s="246">
        <v>0</v>
      </c>
      <c r="U378" s="164">
        <v>6.3159999999999998</v>
      </c>
      <c r="V378" s="273"/>
      <c r="W378" s="273">
        <f t="shared" si="10"/>
        <v>0</v>
      </c>
    </row>
    <row r="379" spans="1:23" ht="21.75" customHeight="1" x14ac:dyDescent="0.2">
      <c r="A379" s="78"/>
      <c r="B379" s="498" t="s">
        <v>457</v>
      </c>
      <c r="C379" s="498"/>
      <c r="D379" s="498"/>
      <c r="E379" s="498"/>
      <c r="F379" s="498"/>
      <c r="G379" s="498"/>
      <c r="H379" s="498"/>
      <c r="I379" s="498"/>
      <c r="J379" s="498"/>
      <c r="K379" s="498"/>
      <c r="L379" s="499"/>
      <c r="M379" s="242">
        <v>8</v>
      </c>
      <c r="N379" s="242">
        <v>1</v>
      </c>
      <c r="O379" s="243" t="s">
        <v>458</v>
      </c>
      <c r="P379" s="244">
        <v>0</v>
      </c>
      <c r="Q379" s="500"/>
      <c r="R379" s="501"/>
      <c r="S379" s="245">
        <v>15448.043</v>
      </c>
      <c r="T379" s="246">
        <v>0</v>
      </c>
      <c r="U379" s="164">
        <v>15448.043</v>
      </c>
      <c r="V379" s="273">
        <f>+V380</f>
        <v>4214.7941499999997</v>
      </c>
      <c r="W379" s="273">
        <f t="shared" si="10"/>
        <v>27.283676968014653</v>
      </c>
    </row>
    <row r="380" spans="1:23" ht="21.75" customHeight="1" x14ac:dyDescent="0.2">
      <c r="A380" s="78"/>
      <c r="B380" s="498" t="s">
        <v>462</v>
      </c>
      <c r="C380" s="498"/>
      <c r="D380" s="498"/>
      <c r="E380" s="498"/>
      <c r="F380" s="498"/>
      <c r="G380" s="498"/>
      <c r="H380" s="498"/>
      <c r="I380" s="498"/>
      <c r="J380" s="498"/>
      <c r="K380" s="498"/>
      <c r="L380" s="499"/>
      <c r="M380" s="242">
        <v>8</v>
      </c>
      <c r="N380" s="242">
        <v>1</v>
      </c>
      <c r="O380" s="243" t="s">
        <v>463</v>
      </c>
      <c r="P380" s="244">
        <v>0</v>
      </c>
      <c r="Q380" s="500"/>
      <c r="R380" s="501"/>
      <c r="S380" s="245">
        <v>15448.043</v>
      </c>
      <c r="T380" s="246">
        <v>0</v>
      </c>
      <c r="U380" s="164">
        <v>15448.043</v>
      </c>
      <c r="V380" s="273">
        <f>+V381</f>
        <v>4214.7941499999997</v>
      </c>
      <c r="W380" s="273">
        <f t="shared" si="10"/>
        <v>27.283676968014653</v>
      </c>
    </row>
    <row r="381" spans="1:23" ht="21.75" customHeight="1" x14ac:dyDescent="0.2">
      <c r="A381" s="78"/>
      <c r="B381" s="498" t="s">
        <v>15</v>
      </c>
      <c r="C381" s="498"/>
      <c r="D381" s="498"/>
      <c r="E381" s="498"/>
      <c r="F381" s="498"/>
      <c r="G381" s="498"/>
      <c r="H381" s="498"/>
      <c r="I381" s="498"/>
      <c r="J381" s="498"/>
      <c r="K381" s="498"/>
      <c r="L381" s="499"/>
      <c r="M381" s="242">
        <v>8</v>
      </c>
      <c r="N381" s="242">
        <v>1</v>
      </c>
      <c r="O381" s="243" t="s">
        <v>464</v>
      </c>
      <c r="P381" s="244">
        <v>0</v>
      </c>
      <c r="Q381" s="500"/>
      <c r="R381" s="501"/>
      <c r="S381" s="245">
        <v>15448.043</v>
      </c>
      <c r="T381" s="246">
        <v>0</v>
      </c>
      <c r="U381" s="164">
        <v>15448.043</v>
      </c>
      <c r="V381" s="273">
        <f>+V382</f>
        <v>4214.7941499999997</v>
      </c>
      <c r="W381" s="273">
        <f t="shared" si="10"/>
        <v>27.283676968014653</v>
      </c>
    </row>
    <row r="382" spans="1:23" ht="21.75" customHeight="1" x14ac:dyDescent="0.2">
      <c r="A382" s="78"/>
      <c r="B382" s="498" t="s">
        <v>436</v>
      </c>
      <c r="C382" s="498"/>
      <c r="D382" s="498"/>
      <c r="E382" s="498"/>
      <c r="F382" s="498"/>
      <c r="G382" s="498"/>
      <c r="H382" s="498"/>
      <c r="I382" s="498"/>
      <c r="J382" s="498"/>
      <c r="K382" s="498"/>
      <c r="L382" s="499"/>
      <c r="M382" s="242">
        <v>8</v>
      </c>
      <c r="N382" s="242">
        <v>1</v>
      </c>
      <c r="O382" s="243" t="s">
        <v>464</v>
      </c>
      <c r="P382" s="244" t="s">
        <v>8</v>
      </c>
      <c r="Q382" s="500"/>
      <c r="R382" s="501"/>
      <c r="S382" s="245">
        <v>15448.043</v>
      </c>
      <c r="T382" s="246">
        <v>0</v>
      </c>
      <c r="U382" s="164">
        <v>15448.043</v>
      </c>
      <c r="V382" s="273">
        <f>+V383</f>
        <v>4214.7941499999997</v>
      </c>
      <c r="W382" s="273">
        <f t="shared" si="10"/>
        <v>27.283676968014653</v>
      </c>
    </row>
    <row r="383" spans="1:23" ht="12.75" customHeight="1" x14ac:dyDescent="0.2">
      <c r="A383" s="78"/>
      <c r="B383" s="498" t="s">
        <v>9</v>
      </c>
      <c r="C383" s="498"/>
      <c r="D383" s="498"/>
      <c r="E383" s="498"/>
      <c r="F383" s="498"/>
      <c r="G383" s="498"/>
      <c r="H383" s="498"/>
      <c r="I383" s="498"/>
      <c r="J383" s="498"/>
      <c r="K383" s="498"/>
      <c r="L383" s="499"/>
      <c r="M383" s="242">
        <v>8</v>
      </c>
      <c r="N383" s="242">
        <v>1</v>
      </c>
      <c r="O383" s="243" t="s">
        <v>464</v>
      </c>
      <c r="P383" s="244" t="s">
        <v>10</v>
      </c>
      <c r="Q383" s="500"/>
      <c r="R383" s="501"/>
      <c r="S383" s="245">
        <v>15448.043</v>
      </c>
      <c r="T383" s="246">
        <v>0</v>
      </c>
      <c r="U383" s="164">
        <v>15448.043</v>
      </c>
      <c r="V383" s="273">
        <f>+V384</f>
        <v>4214.7941499999997</v>
      </c>
      <c r="W383" s="273">
        <f t="shared" si="10"/>
        <v>27.283676968014653</v>
      </c>
    </row>
    <row r="384" spans="1:23" ht="42.75" customHeight="1" x14ac:dyDescent="0.2">
      <c r="A384" s="78"/>
      <c r="B384" s="498" t="s">
        <v>11</v>
      </c>
      <c r="C384" s="498"/>
      <c r="D384" s="498"/>
      <c r="E384" s="498"/>
      <c r="F384" s="498"/>
      <c r="G384" s="498"/>
      <c r="H384" s="498"/>
      <c r="I384" s="498"/>
      <c r="J384" s="498"/>
      <c r="K384" s="498"/>
      <c r="L384" s="499"/>
      <c r="M384" s="242">
        <v>8</v>
      </c>
      <c r="N384" s="242">
        <v>1</v>
      </c>
      <c r="O384" s="243" t="s">
        <v>464</v>
      </c>
      <c r="P384" s="244" t="s">
        <v>12</v>
      </c>
      <c r="Q384" s="500"/>
      <c r="R384" s="501"/>
      <c r="S384" s="245">
        <v>15448.043</v>
      </c>
      <c r="T384" s="246">
        <v>0</v>
      </c>
      <c r="U384" s="164">
        <v>15448.043</v>
      </c>
      <c r="V384" s="273">
        <f>+'11'!AG46</f>
        <v>4214.7941499999997</v>
      </c>
      <c r="W384" s="273">
        <f t="shared" si="10"/>
        <v>27.283676968014653</v>
      </c>
    </row>
    <row r="385" spans="1:23" ht="21.75" customHeight="1" x14ac:dyDescent="0.2">
      <c r="A385" s="78"/>
      <c r="B385" s="498" t="s">
        <v>457</v>
      </c>
      <c r="C385" s="498"/>
      <c r="D385" s="498"/>
      <c r="E385" s="498"/>
      <c r="F385" s="498"/>
      <c r="G385" s="498"/>
      <c r="H385" s="498"/>
      <c r="I385" s="498"/>
      <c r="J385" s="498"/>
      <c r="K385" s="498"/>
      <c r="L385" s="499"/>
      <c r="M385" s="242">
        <v>8</v>
      </c>
      <c r="N385" s="242">
        <v>1</v>
      </c>
      <c r="O385" s="243" t="s">
        <v>458</v>
      </c>
      <c r="P385" s="244">
        <v>0</v>
      </c>
      <c r="Q385" s="500"/>
      <c r="R385" s="501"/>
      <c r="S385" s="245">
        <v>1081.5</v>
      </c>
      <c r="T385" s="246">
        <v>0</v>
      </c>
      <c r="U385" s="164">
        <v>1081.5</v>
      </c>
      <c r="V385" s="273">
        <f>+V386</f>
        <v>0</v>
      </c>
      <c r="W385" s="273">
        <f t="shared" si="10"/>
        <v>0</v>
      </c>
    </row>
    <row r="386" spans="1:23" ht="21.75" customHeight="1" x14ac:dyDescent="0.2">
      <c r="A386" s="78"/>
      <c r="B386" s="498" t="s">
        <v>462</v>
      </c>
      <c r="C386" s="498"/>
      <c r="D386" s="498"/>
      <c r="E386" s="498"/>
      <c r="F386" s="498"/>
      <c r="G386" s="498"/>
      <c r="H386" s="498"/>
      <c r="I386" s="498"/>
      <c r="J386" s="498"/>
      <c r="K386" s="498"/>
      <c r="L386" s="499"/>
      <c r="M386" s="242">
        <v>8</v>
      </c>
      <c r="N386" s="242">
        <v>1</v>
      </c>
      <c r="O386" s="243" t="s">
        <v>463</v>
      </c>
      <c r="P386" s="244">
        <v>0</v>
      </c>
      <c r="Q386" s="500"/>
      <c r="R386" s="501"/>
      <c r="S386" s="245">
        <v>1081.5</v>
      </c>
      <c r="T386" s="246">
        <v>0</v>
      </c>
      <c r="U386" s="164">
        <v>1081.5</v>
      </c>
      <c r="V386" s="273">
        <f>+V387</f>
        <v>0</v>
      </c>
      <c r="W386" s="273">
        <f t="shared" si="10"/>
        <v>0</v>
      </c>
    </row>
    <row r="387" spans="1:23" ht="42.75" customHeight="1" x14ac:dyDescent="0.2">
      <c r="A387" s="78"/>
      <c r="B387" s="498" t="s">
        <v>565</v>
      </c>
      <c r="C387" s="498"/>
      <c r="D387" s="498"/>
      <c r="E387" s="498"/>
      <c r="F387" s="498"/>
      <c r="G387" s="498"/>
      <c r="H387" s="498"/>
      <c r="I387" s="498"/>
      <c r="J387" s="498"/>
      <c r="K387" s="498"/>
      <c r="L387" s="499"/>
      <c r="M387" s="242">
        <v>8</v>
      </c>
      <c r="N387" s="242">
        <v>1</v>
      </c>
      <c r="O387" s="243" t="s">
        <v>566</v>
      </c>
      <c r="P387" s="244">
        <v>0</v>
      </c>
      <c r="Q387" s="500"/>
      <c r="R387" s="501"/>
      <c r="S387" s="245">
        <v>1081.5</v>
      </c>
      <c r="T387" s="246">
        <v>0</v>
      </c>
      <c r="U387" s="164">
        <v>1081.5</v>
      </c>
      <c r="V387" s="273">
        <f>+V388</f>
        <v>0</v>
      </c>
      <c r="W387" s="273">
        <f t="shared" si="10"/>
        <v>0</v>
      </c>
    </row>
    <row r="388" spans="1:23" ht="21.75" customHeight="1" x14ac:dyDescent="0.2">
      <c r="A388" s="78"/>
      <c r="B388" s="498" t="s">
        <v>436</v>
      </c>
      <c r="C388" s="498"/>
      <c r="D388" s="498"/>
      <c r="E388" s="498"/>
      <c r="F388" s="498"/>
      <c r="G388" s="498"/>
      <c r="H388" s="498"/>
      <c r="I388" s="498"/>
      <c r="J388" s="498"/>
      <c r="K388" s="498"/>
      <c r="L388" s="499"/>
      <c r="M388" s="242">
        <v>8</v>
      </c>
      <c r="N388" s="242">
        <v>1</v>
      </c>
      <c r="O388" s="243" t="s">
        <v>566</v>
      </c>
      <c r="P388" s="244" t="s">
        <v>8</v>
      </c>
      <c r="Q388" s="500"/>
      <c r="R388" s="501"/>
      <c r="S388" s="245">
        <v>1081.5</v>
      </c>
      <c r="T388" s="246">
        <v>0</v>
      </c>
      <c r="U388" s="164">
        <v>1081.5</v>
      </c>
      <c r="V388" s="273">
        <f>+V389</f>
        <v>0</v>
      </c>
      <c r="W388" s="273">
        <f t="shared" si="10"/>
        <v>0</v>
      </c>
    </row>
    <row r="389" spans="1:23" ht="12.75" customHeight="1" x14ac:dyDescent="0.2">
      <c r="A389" s="78"/>
      <c r="B389" s="498" t="s">
        <v>9</v>
      </c>
      <c r="C389" s="498"/>
      <c r="D389" s="498"/>
      <c r="E389" s="498"/>
      <c r="F389" s="498"/>
      <c r="G389" s="498"/>
      <c r="H389" s="498"/>
      <c r="I389" s="498"/>
      <c r="J389" s="498"/>
      <c r="K389" s="498"/>
      <c r="L389" s="499"/>
      <c r="M389" s="242">
        <v>8</v>
      </c>
      <c r="N389" s="242">
        <v>1</v>
      </c>
      <c r="O389" s="243" t="s">
        <v>566</v>
      </c>
      <c r="P389" s="244" t="s">
        <v>10</v>
      </c>
      <c r="Q389" s="500"/>
      <c r="R389" s="501"/>
      <c r="S389" s="245">
        <v>1081.5</v>
      </c>
      <c r="T389" s="246">
        <v>0</v>
      </c>
      <c r="U389" s="164">
        <v>1081.5</v>
      </c>
      <c r="V389" s="273">
        <f>+V390+V391</f>
        <v>0</v>
      </c>
      <c r="W389" s="273">
        <f t="shared" si="10"/>
        <v>0</v>
      </c>
    </row>
    <row r="390" spans="1:23" ht="42.75" customHeight="1" x14ac:dyDescent="0.2">
      <c r="A390" s="78"/>
      <c r="B390" s="498" t="s">
        <v>11</v>
      </c>
      <c r="C390" s="498"/>
      <c r="D390" s="498"/>
      <c r="E390" s="498"/>
      <c r="F390" s="498"/>
      <c r="G390" s="498"/>
      <c r="H390" s="498"/>
      <c r="I390" s="498"/>
      <c r="J390" s="498"/>
      <c r="K390" s="498"/>
      <c r="L390" s="499"/>
      <c r="M390" s="242">
        <v>8</v>
      </c>
      <c r="N390" s="242">
        <v>1</v>
      </c>
      <c r="O390" s="243" t="s">
        <v>566</v>
      </c>
      <c r="P390" s="244" t="s">
        <v>12</v>
      </c>
      <c r="Q390" s="500"/>
      <c r="R390" s="501"/>
      <c r="S390" s="245">
        <v>51.5</v>
      </c>
      <c r="T390" s="246">
        <v>0</v>
      </c>
      <c r="U390" s="164">
        <v>51.5</v>
      </c>
      <c r="V390" s="273"/>
      <c r="W390" s="273">
        <f t="shared" si="10"/>
        <v>0</v>
      </c>
    </row>
    <row r="391" spans="1:23" ht="12.75" customHeight="1" x14ac:dyDescent="0.2">
      <c r="A391" s="78"/>
      <c r="B391" s="498" t="s">
        <v>152</v>
      </c>
      <c r="C391" s="498"/>
      <c r="D391" s="498"/>
      <c r="E391" s="498"/>
      <c r="F391" s="498"/>
      <c r="G391" s="498"/>
      <c r="H391" s="498"/>
      <c r="I391" s="498"/>
      <c r="J391" s="498"/>
      <c r="K391" s="498"/>
      <c r="L391" s="499"/>
      <c r="M391" s="242">
        <v>8</v>
      </c>
      <c r="N391" s="242">
        <v>1</v>
      </c>
      <c r="O391" s="243" t="s">
        <v>566</v>
      </c>
      <c r="P391" s="244" t="s">
        <v>151</v>
      </c>
      <c r="Q391" s="500"/>
      <c r="R391" s="501"/>
      <c r="S391" s="245">
        <v>1030</v>
      </c>
      <c r="T391" s="246">
        <v>0</v>
      </c>
      <c r="U391" s="164">
        <v>1030</v>
      </c>
      <c r="V391" s="273"/>
      <c r="W391" s="273">
        <f t="shared" si="10"/>
        <v>0</v>
      </c>
    </row>
    <row r="392" spans="1:23" ht="21.75" customHeight="1" x14ac:dyDescent="0.2">
      <c r="A392" s="78"/>
      <c r="B392" s="498" t="s">
        <v>457</v>
      </c>
      <c r="C392" s="498"/>
      <c r="D392" s="498"/>
      <c r="E392" s="498"/>
      <c r="F392" s="498"/>
      <c r="G392" s="498"/>
      <c r="H392" s="498"/>
      <c r="I392" s="498"/>
      <c r="J392" s="498"/>
      <c r="K392" s="498"/>
      <c r="L392" s="499"/>
      <c r="M392" s="242">
        <v>8</v>
      </c>
      <c r="N392" s="242">
        <v>1</v>
      </c>
      <c r="O392" s="243" t="s">
        <v>458</v>
      </c>
      <c r="P392" s="244">
        <v>0</v>
      </c>
      <c r="Q392" s="500"/>
      <c r="R392" s="501"/>
      <c r="S392" s="245">
        <v>21511.021000000001</v>
      </c>
      <c r="T392" s="246">
        <v>0</v>
      </c>
      <c r="U392" s="164">
        <v>21511.021000000001</v>
      </c>
      <c r="V392" s="273">
        <f>+V393</f>
        <v>6255.3161199999995</v>
      </c>
      <c r="W392" s="273">
        <f t="shared" si="10"/>
        <v>29.07958724971725</v>
      </c>
    </row>
    <row r="393" spans="1:23" ht="21.75" customHeight="1" x14ac:dyDescent="0.2">
      <c r="A393" s="78"/>
      <c r="B393" s="498" t="s">
        <v>462</v>
      </c>
      <c r="C393" s="498"/>
      <c r="D393" s="498"/>
      <c r="E393" s="498"/>
      <c r="F393" s="498"/>
      <c r="G393" s="498"/>
      <c r="H393" s="498"/>
      <c r="I393" s="498"/>
      <c r="J393" s="498"/>
      <c r="K393" s="498"/>
      <c r="L393" s="499"/>
      <c r="M393" s="242">
        <v>8</v>
      </c>
      <c r="N393" s="242">
        <v>1</v>
      </c>
      <c r="O393" s="243" t="s">
        <v>463</v>
      </c>
      <c r="P393" s="244">
        <v>0</v>
      </c>
      <c r="Q393" s="500"/>
      <c r="R393" s="501"/>
      <c r="S393" s="245">
        <v>21511.021000000001</v>
      </c>
      <c r="T393" s="246">
        <v>0</v>
      </c>
      <c r="U393" s="164">
        <v>21511.021000000001</v>
      </c>
      <c r="V393" s="273">
        <f>+V394</f>
        <v>6255.3161199999995</v>
      </c>
      <c r="W393" s="273">
        <f t="shared" si="10"/>
        <v>29.07958724971725</v>
      </c>
    </row>
    <row r="394" spans="1:23" ht="21.75" customHeight="1" x14ac:dyDescent="0.2">
      <c r="A394" s="78"/>
      <c r="B394" s="498" t="s">
        <v>16</v>
      </c>
      <c r="C394" s="498"/>
      <c r="D394" s="498"/>
      <c r="E394" s="498"/>
      <c r="F394" s="498"/>
      <c r="G394" s="498"/>
      <c r="H394" s="498"/>
      <c r="I394" s="498"/>
      <c r="J394" s="498"/>
      <c r="K394" s="498"/>
      <c r="L394" s="499"/>
      <c r="M394" s="242">
        <v>8</v>
      </c>
      <c r="N394" s="242">
        <v>1</v>
      </c>
      <c r="O394" s="243" t="s">
        <v>465</v>
      </c>
      <c r="P394" s="244">
        <v>0</v>
      </c>
      <c r="Q394" s="500"/>
      <c r="R394" s="501"/>
      <c r="S394" s="245">
        <v>21511.021000000001</v>
      </c>
      <c r="T394" s="246">
        <v>0</v>
      </c>
      <c r="U394" s="164">
        <v>21511.021000000001</v>
      </c>
      <c r="V394" s="273">
        <f>+V395+V399+V403</f>
        <v>6255.3161199999995</v>
      </c>
      <c r="W394" s="273">
        <f t="shared" si="10"/>
        <v>29.07958724971725</v>
      </c>
    </row>
    <row r="395" spans="1:23" ht="53.25" customHeight="1" x14ac:dyDescent="0.2">
      <c r="A395" s="78"/>
      <c r="B395" s="498" t="s">
        <v>17</v>
      </c>
      <c r="C395" s="498"/>
      <c r="D395" s="498"/>
      <c r="E395" s="498"/>
      <c r="F395" s="498"/>
      <c r="G395" s="498"/>
      <c r="H395" s="498"/>
      <c r="I395" s="498"/>
      <c r="J395" s="498"/>
      <c r="K395" s="498"/>
      <c r="L395" s="499"/>
      <c r="M395" s="242">
        <v>8</v>
      </c>
      <c r="N395" s="242">
        <v>1</v>
      </c>
      <c r="O395" s="243" t="s">
        <v>465</v>
      </c>
      <c r="P395" s="244" t="s">
        <v>18</v>
      </c>
      <c r="Q395" s="500"/>
      <c r="R395" s="501"/>
      <c r="S395" s="245">
        <v>21166.821</v>
      </c>
      <c r="T395" s="246">
        <v>0</v>
      </c>
      <c r="U395" s="164">
        <v>21166.821</v>
      </c>
      <c r="V395" s="273">
        <f>+V396</f>
        <v>6225.8265499999998</v>
      </c>
      <c r="W395" s="273">
        <f t="shared" si="10"/>
        <v>29.413139318370007</v>
      </c>
    </row>
    <row r="396" spans="1:23" ht="12.75" customHeight="1" x14ac:dyDescent="0.2">
      <c r="A396" s="78"/>
      <c r="B396" s="498" t="s">
        <v>19</v>
      </c>
      <c r="C396" s="498"/>
      <c r="D396" s="498"/>
      <c r="E396" s="498"/>
      <c r="F396" s="498"/>
      <c r="G396" s="498"/>
      <c r="H396" s="498"/>
      <c r="I396" s="498"/>
      <c r="J396" s="498"/>
      <c r="K396" s="498"/>
      <c r="L396" s="499"/>
      <c r="M396" s="242">
        <v>8</v>
      </c>
      <c r="N396" s="242">
        <v>1</v>
      </c>
      <c r="O396" s="243" t="s">
        <v>465</v>
      </c>
      <c r="P396" s="244" t="s">
        <v>20</v>
      </c>
      <c r="Q396" s="500"/>
      <c r="R396" s="501"/>
      <c r="S396" s="245">
        <v>21166.821</v>
      </c>
      <c r="T396" s="246">
        <v>0</v>
      </c>
      <c r="U396" s="164">
        <v>21166.821</v>
      </c>
      <c r="V396" s="273">
        <f>+V397+V398</f>
        <v>6225.8265499999998</v>
      </c>
      <c r="W396" s="273">
        <f t="shared" si="10"/>
        <v>29.413139318370007</v>
      </c>
    </row>
    <row r="397" spans="1:23" ht="12.75" customHeight="1" x14ac:dyDescent="0.2">
      <c r="A397" s="78"/>
      <c r="B397" s="498" t="s">
        <v>404</v>
      </c>
      <c r="C397" s="498"/>
      <c r="D397" s="498"/>
      <c r="E397" s="498"/>
      <c r="F397" s="498"/>
      <c r="G397" s="498"/>
      <c r="H397" s="498"/>
      <c r="I397" s="498"/>
      <c r="J397" s="498"/>
      <c r="K397" s="498"/>
      <c r="L397" s="499"/>
      <c r="M397" s="242">
        <v>8</v>
      </c>
      <c r="N397" s="242">
        <v>1</v>
      </c>
      <c r="O397" s="243" t="s">
        <v>465</v>
      </c>
      <c r="P397" s="244" t="s">
        <v>21</v>
      </c>
      <c r="Q397" s="500"/>
      <c r="R397" s="501"/>
      <c r="S397" s="245">
        <v>16257.159</v>
      </c>
      <c r="T397" s="246">
        <v>0</v>
      </c>
      <c r="U397" s="164">
        <v>16257.159</v>
      </c>
      <c r="V397" s="273">
        <f>+'11'!AG59</f>
        <v>4782.5609999999997</v>
      </c>
      <c r="W397" s="273">
        <f t="shared" si="10"/>
        <v>29.418184321135076</v>
      </c>
    </row>
    <row r="398" spans="1:23" ht="32.25" customHeight="1" x14ac:dyDescent="0.2">
      <c r="A398" s="78"/>
      <c r="B398" s="498" t="s">
        <v>406</v>
      </c>
      <c r="C398" s="498"/>
      <c r="D398" s="498"/>
      <c r="E398" s="498"/>
      <c r="F398" s="498"/>
      <c r="G398" s="498"/>
      <c r="H398" s="498"/>
      <c r="I398" s="498"/>
      <c r="J398" s="498"/>
      <c r="K398" s="498"/>
      <c r="L398" s="499"/>
      <c r="M398" s="242">
        <v>8</v>
      </c>
      <c r="N398" s="242">
        <v>1</v>
      </c>
      <c r="O398" s="243" t="s">
        <v>465</v>
      </c>
      <c r="P398" s="244" t="s">
        <v>23</v>
      </c>
      <c r="Q398" s="500"/>
      <c r="R398" s="501"/>
      <c r="S398" s="245">
        <v>4909.6620000000003</v>
      </c>
      <c r="T398" s="246">
        <v>0</v>
      </c>
      <c r="U398" s="164">
        <v>4909.6620000000003</v>
      </c>
      <c r="V398" s="273">
        <f>+'11'!AG60</f>
        <v>1443.2655500000001</v>
      </c>
      <c r="W398" s="273">
        <f t="shared" si="10"/>
        <v>29.396434011139664</v>
      </c>
    </row>
    <row r="399" spans="1:23" ht="21.75" customHeight="1" x14ac:dyDescent="0.2">
      <c r="A399" s="78"/>
      <c r="B399" s="498" t="s">
        <v>345</v>
      </c>
      <c r="C399" s="498"/>
      <c r="D399" s="498"/>
      <c r="E399" s="498"/>
      <c r="F399" s="498"/>
      <c r="G399" s="498"/>
      <c r="H399" s="498"/>
      <c r="I399" s="498"/>
      <c r="J399" s="498"/>
      <c r="K399" s="498"/>
      <c r="L399" s="499"/>
      <c r="M399" s="242">
        <v>8</v>
      </c>
      <c r="N399" s="242">
        <v>1</v>
      </c>
      <c r="O399" s="243" t="s">
        <v>465</v>
      </c>
      <c r="P399" s="244" t="s">
        <v>24</v>
      </c>
      <c r="Q399" s="500"/>
      <c r="R399" s="501"/>
      <c r="S399" s="245">
        <v>335.7</v>
      </c>
      <c r="T399" s="246">
        <v>0</v>
      </c>
      <c r="U399" s="164">
        <v>335.7</v>
      </c>
      <c r="V399" s="273">
        <f>+V400</f>
        <v>29.489570000000001</v>
      </c>
      <c r="W399" s="273">
        <f t="shared" si="10"/>
        <v>8.784501042597558</v>
      </c>
    </row>
    <row r="400" spans="1:23" ht="21.75" customHeight="1" x14ac:dyDescent="0.2">
      <c r="A400" s="78"/>
      <c r="B400" s="498" t="s">
        <v>346</v>
      </c>
      <c r="C400" s="498"/>
      <c r="D400" s="498"/>
      <c r="E400" s="498"/>
      <c r="F400" s="498"/>
      <c r="G400" s="498"/>
      <c r="H400" s="498"/>
      <c r="I400" s="498"/>
      <c r="J400" s="498"/>
      <c r="K400" s="498"/>
      <c r="L400" s="499"/>
      <c r="M400" s="242">
        <v>8</v>
      </c>
      <c r="N400" s="242">
        <v>1</v>
      </c>
      <c r="O400" s="243" t="s">
        <v>465</v>
      </c>
      <c r="P400" s="244" t="s">
        <v>26</v>
      </c>
      <c r="Q400" s="500"/>
      <c r="R400" s="501"/>
      <c r="S400" s="245">
        <v>335.7</v>
      </c>
      <c r="T400" s="246">
        <v>0</v>
      </c>
      <c r="U400" s="164">
        <v>335.7</v>
      </c>
      <c r="V400" s="273">
        <f>+V401+V402</f>
        <v>29.489570000000001</v>
      </c>
      <c r="W400" s="273">
        <f t="shared" si="10"/>
        <v>8.784501042597558</v>
      </c>
    </row>
    <row r="401" spans="1:23" ht="21.75" customHeight="1" x14ac:dyDescent="0.2">
      <c r="A401" s="78"/>
      <c r="B401" s="498" t="s">
        <v>347</v>
      </c>
      <c r="C401" s="498"/>
      <c r="D401" s="498"/>
      <c r="E401" s="498"/>
      <c r="F401" s="498"/>
      <c r="G401" s="498"/>
      <c r="H401" s="498"/>
      <c r="I401" s="498"/>
      <c r="J401" s="498"/>
      <c r="K401" s="498"/>
      <c r="L401" s="499"/>
      <c r="M401" s="242">
        <v>8</v>
      </c>
      <c r="N401" s="242">
        <v>1</v>
      </c>
      <c r="O401" s="243" t="s">
        <v>465</v>
      </c>
      <c r="P401" s="244" t="s">
        <v>27</v>
      </c>
      <c r="Q401" s="500"/>
      <c r="R401" s="501"/>
      <c r="S401" s="245">
        <v>52.6</v>
      </c>
      <c r="T401" s="246">
        <v>0</v>
      </c>
      <c r="U401" s="164">
        <v>52.6</v>
      </c>
      <c r="V401" s="273">
        <f>+'11'!AG63</f>
        <v>24.489570000000001</v>
      </c>
      <c r="W401" s="273">
        <f t="shared" si="10"/>
        <v>46.558117870722434</v>
      </c>
    </row>
    <row r="402" spans="1:23" ht="12.75" customHeight="1" x14ac:dyDescent="0.2">
      <c r="A402" s="78"/>
      <c r="B402" s="498" t="s">
        <v>348</v>
      </c>
      <c r="C402" s="498"/>
      <c r="D402" s="498"/>
      <c r="E402" s="498"/>
      <c r="F402" s="498"/>
      <c r="G402" s="498"/>
      <c r="H402" s="498"/>
      <c r="I402" s="498"/>
      <c r="J402" s="498"/>
      <c r="K402" s="498"/>
      <c r="L402" s="499"/>
      <c r="M402" s="242">
        <v>8</v>
      </c>
      <c r="N402" s="242">
        <v>1</v>
      </c>
      <c r="O402" s="243" t="s">
        <v>465</v>
      </c>
      <c r="P402" s="244" t="s">
        <v>28</v>
      </c>
      <c r="Q402" s="500"/>
      <c r="R402" s="501"/>
      <c r="S402" s="245">
        <v>283.10000000000002</v>
      </c>
      <c r="T402" s="246">
        <v>0</v>
      </c>
      <c r="U402" s="164">
        <v>283.10000000000002</v>
      </c>
      <c r="V402" s="273">
        <f>+'11'!AG64</f>
        <v>5</v>
      </c>
      <c r="W402" s="273">
        <f t="shared" si="10"/>
        <v>1.7661603673613562</v>
      </c>
    </row>
    <row r="403" spans="1:23" ht="12.75" customHeight="1" x14ac:dyDescent="0.2">
      <c r="A403" s="78"/>
      <c r="B403" s="498" t="s">
        <v>29</v>
      </c>
      <c r="C403" s="498"/>
      <c r="D403" s="498"/>
      <c r="E403" s="498"/>
      <c r="F403" s="498"/>
      <c r="G403" s="498"/>
      <c r="H403" s="498"/>
      <c r="I403" s="498"/>
      <c r="J403" s="498"/>
      <c r="K403" s="498"/>
      <c r="L403" s="499"/>
      <c r="M403" s="242">
        <v>8</v>
      </c>
      <c r="N403" s="242">
        <v>1</v>
      </c>
      <c r="O403" s="243" t="s">
        <v>465</v>
      </c>
      <c r="P403" s="244" t="s">
        <v>30</v>
      </c>
      <c r="Q403" s="500"/>
      <c r="R403" s="501"/>
      <c r="S403" s="245">
        <v>8.5</v>
      </c>
      <c r="T403" s="246">
        <v>0</v>
      </c>
      <c r="U403" s="164">
        <v>8.5</v>
      </c>
      <c r="V403" s="273">
        <f>+V404</f>
        <v>0</v>
      </c>
      <c r="W403" s="273">
        <f t="shared" ref="W403:W466" si="11">V403/U403*100</f>
        <v>0</v>
      </c>
    </row>
    <row r="404" spans="1:23" ht="12.75" customHeight="1" x14ac:dyDescent="0.2">
      <c r="A404" s="78"/>
      <c r="B404" s="498" t="s">
        <v>349</v>
      </c>
      <c r="C404" s="498"/>
      <c r="D404" s="498"/>
      <c r="E404" s="498"/>
      <c r="F404" s="498"/>
      <c r="G404" s="498"/>
      <c r="H404" s="498"/>
      <c r="I404" s="498"/>
      <c r="J404" s="498"/>
      <c r="K404" s="498"/>
      <c r="L404" s="499"/>
      <c r="M404" s="242">
        <v>8</v>
      </c>
      <c r="N404" s="242">
        <v>1</v>
      </c>
      <c r="O404" s="243" t="s">
        <v>465</v>
      </c>
      <c r="P404" s="244" t="s">
        <v>31</v>
      </c>
      <c r="Q404" s="500"/>
      <c r="R404" s="501"/>
      <c r="S404" s="245">
        <v>8.5</v>
      </c>
      <c r="T404" s="246">
        <v>0</v>
      </c>
      <c r="U404" s="164">
        <v>8.5</v>
      </c>
      <c r="V404" s="273">
        <f>+V405+V406</f>
        <v>0</v>
      </c>
      <c r="W404" s="273">
        <f t="shared" si="11"/>
        <v>0</v>
      </c>
    </row>
    <row r="405" spans="1:23" ht="21.75" customHeight="1" x14ac:dyDescent="0.2">
      <c r="A405" s="78"/>
      <c r="B405" s="498" t="s">
        <v>32</v>
      </c>
      <c r="C405" s="498"/>
      <c r="D405" s="498"/>
      <c r="E405" s="498"/>
      <c r="F405" s="498"/>
      <c r="G405" s="498"/>
      <c r="H405" s="498"/>
      <c r="I405" s="498"/>
      <c r="J405" s="498"/>
      <c r="K405" s="498"/>
      <c r="L405" s="499"/>
      <c r="M405" s="242">
        <v>8</v>
      </c>
      <c r="N405" s="242">
        <v>1</v>
      </c>
      <c r="O405" s="243" t="s">
        <v>465</v>
      </c>
      <c r="P405" s="244" t="s">
        <v>33</v>
      </c>
      <c r="Q405" s="500"/>
      <c r="R405" s="501"/>
      <c r="S405" s="245">
        <v>6</v>
      </c>
      <c r="T405" s="246">
        <v>0</v>
      </c>
      <c r="U405" s="164">
        <v>6</v>
      </c>
      <c r="V405" s="273">
        <f>+'11'!AG67</f>
        <v>0</v>
      </c>
      <c r="W405" s="273">
        <f t="shared" si="11"/>
        <v>0</v>
      </c>
    </row>
    <row r="406" spans="1:23" ht="12.75" customHeight="1" x14ac:dyDescent="0.2">
      <c r="A406" s="78"/>
      <c r="B406" s="498" t="s">
        <v>350</v>
      </c>
      <c r="C406" s="498"/>
      <c r="D406" s="498"/>
      <c r="E406" s="498"/>
      <c r="F406" s="498"/>
      <c r="G406" s="498"/>
      <c r="H406" s="498"/>
      <c r="I406" s="498"/>
      <c r="J406" s="498"/>
      <c r="K406" s="498"/>
      <c r="L406" s="499"/>
      <c r="M406" s="242">
        <v>8</v>
      </c>
      <c r="N406" s="242">
        <v>1</v>
      </c>
      <c r="O406" s="243" t="s">
        <v>465</v>
      </c>
      <c r="P406" s="244" t="s">
        <v>34</v>
      </c>
      <c r="Q406" s="500"/>
      <c r="R406" s="501"/>
      <c r="S406" s="245">
        <v>2.5</v>
      </c>
      <c r="T406" s="246">
        <v>0</v>
      </c>
      <c r="U406" s="164">
        <v>2.5</v>
      </c>
      <c r="V406" s="273">
        <f>+'11'!AG68</f>
        <v>0</v>
      </c>
      <c r="W406" s="273">
        <f t="shared" si="11"/>
        <v>0</v>
      </c>
    </row>
    <row r="407" spans="1:23" ht="21.75" customHeight="1" x14ac:dyDescent="0.2">
      <c r="A407" s="78"/>
      <c r="B407" s="498" t="s">
        <v>457</v>
      </c>
      <c r="C407" s="498"/>
      <c r="D407" s="498"/>
      <c r="E407" s="498"/>
      <c r="F407" s="498"/>
      <c r="G407" s="498"/>
      <c r="H407" s="498"/>
      <c r="I407" s="498"/>
      <c r="J407" s="498"/>
      <c r="K407" s="498"/>
      <c r="L407" s="499"/>
      <c r="M407" s="242">
        <v>8</v>
      </c>
      <c r="N407" s="242">
        <v>1</v>
      </c>
      <c r="O407" s="243" t="s">
        <v>458</v>
      </c>
      <c r="P407" s="244">
        <v>0</v>
      </c>
      <c r="Q407" s="500"/>
      <c r="R407" s="501"/>
      <c r="S407" s="245">
        <v>205</v>
      </c>
      <c r="T407" s="246">
        <v>0</v>
      </c>
      <c r="U407" s="164">
        <v>205</v>
      </c>
      <c r="V407" s="273">
        <f>+V408</f>
        <v>0</v>
      </c>
      <c r="W407" s="273">
        <f t="shared" si="11"/>
        <v>0</v>
      </c>
    </row>
    <row r="408" spans="1:23" ht="21.75" customHeight="1" x14ac:dyDescent="0.2">
      <c r="A408" s="78"/>
      <c r="B408" s="498" t="s">
        <v>585</v>
      </c>
      <c r="C408" s="498"/>
      <c r="D408" s="498"/>
      <c r="E408" s="498"/>
      <c r="F408" s="498"/>
      <c r="G408" s="498"/>
      <c r="H408" s="498"/>
      <c r="I408" s="498"/>
      <c r="J408" s="498"/>
      <c r="K408" s="498"/>
      <c r="L408" s="499"/>
      <c r="M408" s="242">
        <v>8</v>
      </c>
      <c r="N408" s="242">
        <v>1</v>
      </c>
      <c r="O408" s="243" t="s">
        <v>586</v>
      </c>
      <c r="P408" s="244">
        <v>0</v>
      </c>
      <c r="Q408" s="500"/>
      <c r="R408" s="501"/>
      <c r="S408" s="245">
        <v>205</v>
      </c>
      <c r="T408" s="246">
        <v>0</v>
      </c>
      <c r="U408" s="164">
        <v>205</v>
      </c>
      <c r="V408" s="273">
        <f>+V409</f>
        <v>0</v>
      </c>
      <c r="W408" s="273">
        <f t="shared" si="11"/>
        <v>0</v>
      </c>
    </row>
    <row r="409" spans="1:23" ht="21.75" customHeight="1" x14ac:dyDescent="0.2">
      <c r="A409" s="78"/>
      <c r="B409" s="498" t="s">
        <v>587</v>
      </c>
      <c r="C409" s="498"/>
      <c r="D409" s="498"/>
      <c r="E409" s="498"/>
      <c r="F409" s="498"/>
      <c r="G409" s="498"/>
      <c r="H409" s="498"/>
      <c r="I409" s="498"/>
      <c r="J409" s="498"/>
      <c r="K409" s="498"/>
      <c r="L409" s="499"/>
      <c r="M409" s="242">
        <v>8</v>
      </c>
      <c r="N409" s="242">
        <v>1</v>
      </c>
      <c r="O409" s="243" t="s">
        <v>588</v>
      </c>
      <c r="P409" s="244">
        <v>0</v>
      </c>
      <c r="Q409" s="500"/>
      <c r="R409" s="501"/>
      <c r="S409" s="245">
        <v>205</v>
      </c>
      <c r="T409" s="246">
        <v>0</v>
      </c>
      <c r="U409" s="164">
        <v>205</v>
      </c>
      <c r="V409" s="273">
        <f>+V410</f>
        <v>0</v>
      </c>
      <c r="W409" s="273">
        <f t="shared" si="11"/>
        <v>0</v>
      </c>
    </row>
    <row r="410" spans="1:23" ht="21.75" customHeight="1" x14ac:dyDescent="0.2">
      <c r="A410" s="78"/>
      <c r="B410" s="498" t="s">
        <v>345</v>
      </c>
      <c r="C410" s="498"/>
      <c r="D410" s="498"/>
      <c r="E410" s="498"/>
      <c r="F410" s="498"/>
      <c r="G410" s="498"/>
      <c r="H410" s="498"/>
      <c r="I410" s="498"/>
      <c r="J410" s="498"/>
      <c r="K410" s="498"/>
      <c r="L410" s="499"/>
      <c r="M410" s="242">
        <v>8</v>
      </c>
      <c r="N410" s="242">
        <v>1</v>
      </c>
      <c r="O410" s="243" t="s">
        <v>588</v>
      </c>
      <c r="P410" s="244" t="s">
        <v>24</v>
      </c>
      <c r="Q410" s="500"/>
      <c r="R410" s="501"/>
      <c r="S410" s="245">
        <v>205</v>
      </c>
      <c r="T410" s="246">
        <v>0</v>
      </c>
      <c r="U410" s="164">
        <v>205</v>
      </c>
      <c r="V410" s="273">
        <f>+V411</f>
        <v>0</v>
      </c>
      <c r="W410" s="273">
        <f t="shared" si="11"/>
        <v>0</v>
      </c>
    </row>
    <row r="411" spans="1:23" ht="21.75" customHeight="1" x14ac:dyDescent="0.2">
      <c r="A411" s="78"/>
      <c r="B411" s="498" t="s">
        <v>346</v>
      </c>
      <c r="C411" s="498"/>
      <c r="D411" s="498"/>
      <c r="E411" s="498"/>
      <c r="F411" s="498"/>
      <c r="G411" s="498"/>
      <c r="H411" s="498"/>
      <c r="I411" s="498"/>
      <c r="J411" s="498"/>
      <c r="K411" s="498"/>
      <c r="L411" s="499"/>
      <c r="M411" s="242">
        <v>8</v>
      </c>
      <c r="N411" s="242">
        <v>1</v>
      </c>
      <c r="O411" s="243" t="s">
        <v>588</v>
      </c>
      <c r="P411" s="244" t="s">
        <v>26</v>
      </c>
      <c r="Q411" s="500"/>
      <c r="R411" s="501"/>
      <c r="S411" s="245">
        <v>205</v>
      </c>
      <c r="T411" s="246">
        <v>0</v>
      </c>
      <c r="U411" s="164">
        <v>205</v>
      </c>
      <c r="V411" s="273">
        <f>+V412</f>
        <v>0</v>
      </c>
      <c r="W411" s="273">
        <f t="shared" si="11"/>
        <v>0</v>
      </c>
    </row>
    <row r="412" spans="1:23" ht="12.75" customHeight="1" x14ac:dyDescent="0.2">
      <c r="A412" s="78"/>
      <c r="B412" s="498" t="s">
        <v>348</v>
      </c>
      <c r="C412" s="498"/>
      <c r="D412" s="498"/>
      <c r="E412" s="498"/>
      <c r="F412" s="498"/>
      <c r="G412" s="498"/>
      <c r="H412" s="498"/>
      <c r="I412" s="498"/>
      <c r="J412" s="498"/>
      <c r="K412" s="498"/>
      <c r="L412" s="499"/>
      <c r="M412" s="242">
        <v>8</v>
      </c>
      <c r="N412" s="242">
        <v>1</v>
      </c>
      <c r="O412" s="243" t="s">
        <v>588</v>
      </c>
      <c r="P412" s="244" t="s">
        <v>28</v>
      </c>
      <c r="Q412" s="500"/>
      <c r="R412" s="501"/>
      <c r="S412" s="245">
        <v>205</v>
      </c>
      <c r="T412" s="246">
        <v>0</v>
      </c>
      <c r="U412" s="164">
        <v>205</v>
      </c>
      <c r="V412" s="273"/>
      <c r="W412" s="273">
        <f t="shared" si="11"/>
        <v>0</v>
      </c>
    </row>
    <row r="413" spans="1:23" ht="32.25" customHeight="1" x14ac:dyDescent="0.2">
      <c r="A413" s="78"/>
      <c r="B413" s="498" t="s">
        <v>357</v>
      </c>
      <c r="C413" s="498"/>
      <c r="D413" s="498"/>
      <c r="E413" s="498"/>
      <c r="F413" s="498"/>
      <c r="G413" s="498"/>
      <c r="H413" s="498"/>
      <c r="I413" s="498"/>
      <c r="J413" s="498"/>
      <c r="K413" s="498"/>
      <c r="L413" s="499"/>
      <c r="M413" s="242">
        <v>8</v>
      </c>
      <c r="N413" s="242">
        <v>1</v>
      </c>
      <c r="O413" s="243" t="s">
        <v>358</v>
      </c>
      <c r="P413" s="244">
        <v>0</v>
      </c>
      <c r="Q413" s="500"/>
      <c r="R413" s="501"/>
      <c r="S413" s="245">
        <v>381.7</v>
      </c>
      <c r="T413" s="246">
        <v>0</v>
      </c>
      <c r="U413" s="164">
        <v>381.7</v>
      </c>
      <c r="V413" s="273">
        <f>+V414</f>
        <v>0</v>
      </c>
      <c r="W413" s="273">
        <f t="shared" si="11"/>
        <v>0</v>
      </c>
    </row>
    <row r="414" spans="1:23" ht="21.75" customHeight="1" x14ac:dyDescent="0.2">
      <c r="A414" s="78"/>
      <c r="B414" s="498" t="s">
        <v>466</v>
      </c>
      <c r="C414" s="498"/>
      <c r="D414" s="498"/>
      <c r="E414" s="498"/>
      <c r="F414" s="498"/>
      <c r="G414" s="498"/>
      <c r="H414" s="498"/>
      <c r="I414" s="498"/>
      <c r="J414" s="498"/>
      <c r="K414" s="498"/>
      <c r="L414" s="499"/>
      <c r="M414" s="242">
        <v>8</v>
      </c>
      <c r="N414" s="242">
        <v>1</v>
      </c>
      <c r="O414" s="243" t="s">
        <v>467</v>
      </c>
      <c r="P414" s="244">
        <v>0</v>
      </c>
      <c r="Q414" s="500"/>
      <c r="R414" s="501"/>
      <c r="S414" s="245">
        <v>381.7</v>
      </c>
      <c r="T414" s="246">
        <v>0</v>
      </c>
      <c r="U414" s="164">
        <v>381.7</v>
      </c>
      <c r="V414" s="273">
        <f>+V415+V418</f>
        <v>0</v>
      </c>
      <c r="W414" s="273">
        <f t="shared" si="11"/>
        <v>0</v>
      </c>
    </row>
    <row r="415" spans="1:23" ht="53.25" customHeight="1" x14ac:dyDescent="0.2">
      <c r="A415" s="78"/>
      <c r="B415" s="498" t="s">
        <v>17</v>
      </c>
      <c r="C415" s="498"/>
      <c r="D415" s="498"/>
      <c r="E415" s="498"/>
      <c r="F415" s="498"/>
      <c r="G415" s="498"/>
      <c r="H415" s="498"/>
      <c r="I415" s="498"/>
      <c r="J415" s="498"/>
      <c r="K415" s="498"/>
      <c r="L415" s="499"/>
      <c r="M415" s="242">
        <v>8</v>
      </c>
      <c r="N415" s="242">
        <v>1</v>
      </c>
      <c r="O415" s="243" t="s">
        <v>467</v>
      </c>
      <c r="P415" s="244" t="s">
        <v>18</v>
      </c>
      <c r="Q415" s="500"/>
      <c r="R415" s="501"/>
      <c r="S415" s="245">
        <v>23.687999999999999</v>
      </c>
      <c r="T415" s="246">
        <v>0</v>
      </c>
      <c r="U415" s="164">
        <v>23.687999999999999</v>
      </c>
      <c r="V415" s="273">
        <f>+V416</f>
        <v>0</v>
      </c>
      <c r="W415" s="273">
        <f t="shared" si="11"/>
        <v>0</v>
      </c>
    </row>
    <row r="416" spans="1:23" ht="12.75" customHeight="1" x14ac:dyDescent="0.2">
      <c r="A416" s="78"/>
      <c r="B416" s="498" t="s">
        <v>19</v>
      </c>
      <c r="C416" s="498"/>
      <c r="D416" s="498"/>
      <c r="E416" s="498"/>
      <c r="F416" s="498"/>
      <c r="G416" s="498"/>
      <c r="H416" s="498"/>
      <c r="I416" s="498"/>
      <c r="J416" s="498"/>
      <c r="K416" s="498"/>
      <c r="L416" s="499"/>
      <c r="M416" s="242">
        <v>8</v>
      </c>
      <c r="N416" s="242">
        <v>1</v>
      </c>
      <c r="O416" s="243" t="s">
        <v>467</v>
      </c>
      <c r="P416" s="244" t="s">
        <v>20</v>
      </c>
      <c r="Q416" s="500"/>
      <c r="R416" s="501"/>
      <c r="S416" s="245">
        <v>23.687999999999999</v>
      </c>
      <c r="T416" s="246">
        <v>0</v>
      </c>
      <c r="U416" s="164">
        <v>23.687999999999999</v>
      </c>
      <c r="V416" s="273">
        <f>+V417</f>
        <v>0</v>
      </c>
      <c r="W416" s="273">
        <f t="shared" si="11"/>
        <v>0</v>
      </c>
    </row>
    <row r="417" spans="1:23" ht="21.75" customHeight="1" x14ac:dyDescent="0.2">
      <c r="A417" s="78"/>
      <c r="B417" s="498" t="s">
        <v>405</v>
      </c>
      <c r="C417" s="498"/>
      <c r="D417" s="498"/>
      <c r="E417" s="498"/>
      <c r="F417" s="498"/>
      <c r="G417" s="498"/>
      <c r="H417" s="498"/>
      <c r="I417" s="498"/>
      <c r="J417" s="498"/>
      <c r="K417" s="498"/>
      <c r="L417" s="499"/>
      <c r="M417" s="242">
        <v>8</v>
      </c>
      <c r="N417" s="242">
        <v>1</v>
      </c>
      <c r="O417" s="243" t="s">
        <v>467</v>
      </c>
      <c r="P417" s="244" t="s">
        <v>22</v>
      </c>
      <c r="Q417" s="500"/>
      <c r="R417" s="501"/>
      <c r="S417" s="245">
        <v>23.687999999999999</v>
      </c>
      <c r="T417" s="246">
        <v>0</v>
      </c>
      <c r="U417" s="164">
        <v>23.687999999999999</v>
      </c>
      <c r="V417" s="273"/>
      <c r="W417" s="273">
        <f t="shared" si="11"/>
        <v>0</v>
      </c>
    </row>
    <row r="418" spans="1:23" ht="21.75" customHeight="1" x14ac:dyDescent="0.2">
      <c r="A418" s="78"/>
      <c r="B418" s="498" t="s">
        <v>436</v>
      </c>
      <c r="C418" s="498"/>
      <c r="D418" s="498"/>
      <c r="E418" s="498"/>
      <c r="F418" s="498"/>
      <c r="G418" s="498"/>
      <c r="H418" s="498"/>
      <c r="I418" s="498"/>
      <c r="J418" s="498"/>
      <c r="K418" s="498"/>
      <c r="L418" s="499"/>
      <c r="M418" s="242">
        <v>8</v>
      </c>
      <c r="N418" s="242">
        <v>1</v>
      </c>
      <c r="O418" s="243" t="s">
        <v>467</v>
      </c>
      <c r="P418" s="244" t="s">
        <v>8</v>
      </c>
      <c r="Q418" s="500"/>
      <c r="R418" s="501"/>
      <c r="S418" s="245">
        <v>358.012</v>
      </c>
      <c r="T418" s="246">
        <v>0</v>
      </c>
      <c r="U418" s="164">
        <v>358.012</v>
      </c>
      <c r="V418" s="273">
        <f>+V419</f>
        <v>0</v>
      </c>
      <c r="W418" s="273">
        <f t="shared" si="11"/>
        <v>0</v>
      </c>
    </row>
    <row r="419" spans="1:23" ht="12.75" customHeight="1" x14ac:dyDescent="0.2">
      <c r="A419" s="78"/>
      <c r="B419" s="498" t="s">
        <v>9</v>
      </c>
      <c r="C419" s="498"/>
      <c r="D419" s="498"/>
      <c r="E419" s="498"/>
      <c r="F419" s="498"/>
      <c r="G419" s="498"/>
      <c r="H419" s="498"/>
      <c r="I419" s="498"/>
      <c r="J419" s="498"/>
      <c r="K419" s="498"/>
      <c r="L419" s="499"/>
      <c r="M419" s="242">
        <v>8</v>
      </c>
      <c r="N419" s="242">
        <v>1</v>
      </c>
      <c r="O419" s="243" t="s">
        <v>467</v>
      </c>
      <c r="P419" s="244" t="s">
        <v>10</v>
      </c>
      <c r="Q419" s="500"/>
      <c r="R419" s="501"/>
      <c r="S419" s="245">
        <v>358.012</v>
      </c>
      <c r="T419" s="246">
        <v>0</v>
      </c>
      <c r="U419" s="164">
        <v>358.012</v>
      </c>
      <c r="V419" s="273">
        <f>+V420</f>
        <v>0</v>
      </c>
      <c r="W419" s="273">
        <f t="shared" si="11"/>
        <v>0</v>
      </c>
    </row>
    <row r="420" spans="1:23" ht="42.75" customHeight="1" x14ac:dyDescent="0.2">
      <c r="A420" s="78"/>
      <c r="B420" s="498" t="s">
        <v>11</v>
      </c>
      <c r="C420" s="498"/>
      <c r="D420" s="498"/>
      <c r="E420" s="498"/>
      <c r="F420" s="498"/>
      <c r="G420" s="498"/>
      <c r="H420" s="498"/>
      <c r="I420" s="498"/>
      <c r="J420" s="498"/>
      <c r="K420" s="498"/>
      <c r="L420" s="499"/>
      <c r="M420" s="242">
        <v>8</v>
      </c>
      <c r="N420" s="242">
        <v>1</v>
      </c>
      <c r="O420" s="243" t="s">
        <v>467</v>
      </c>
      <c r="P420" s="244" t="s">
        <v>12</v>
      </c>
      <c r="Q420" s="500"/>
      <c r="R420" s="501"/>
      <c r="S420" s="245">
        <v>358.012</v>
      </c>
      <c r="T420" s="246">
        <v>0</v>
      </c>
      <c r="U420" s="164">
        <v>358.012</v>
      </c>
      <c r="V420" s="273"/>
      <c r="W420" s="273">
        <f t="shared" si="11"/>
        <v>0</v>
      </c>
    </row>
    <row r="421" spans="1:23" ht="20.25" customHeight="1" x14ac:dyDescent="0.25">
      <c r="A421" s="78"/>
      <c r="B421" s="502" t="s">
        <v>35</v>
      </c>
      <c r="C421" s="502"/>
      <c r="D421" s="502"/>
      <c r="E421" s="502"/>
      <c r="F421" s="502"/>
      <c r="G421" s="502"/>
      <c r="H421" s="502"/>
      <c r="I421" s="502"/>
      <c r="J421" s="502"/>
      <c r="K421" s="502"/>
      <c r="L421" s="503"/>
      <c r="M421" s="237">
        <v>8</v>
      </c>
      <c r="N421" s="237">
        <v>4</v>
      </c>
      <c r="O421" s="238">
        <v>0</v>
      </c>
      <c r="P421" s="239">
        <v>0</v>
      </c>
      <c r="Q421" s="504"/>
      <c r="R421" s="505"/>
      <c r="S421" s="240">
        <v>2725.748</v>
      </c>
      <c r="T421" s="241">
        <v>0</v>
      </c>
      <c r="U421" s="274">
        <v>2725.748</v>
      </c>
      <c r="V421" s="273">
        <f>+V422+V432</f>
        <v>690.84724000000006</v>
      </c>
      <c r="W421" s="273">
        <f t="shared" si="11"/>
        <v>25.345235142793832</v>
      </c>
    </row>
    <row r="422" spans="1:23" ht="21.75" customHeight="1" x14ac:dyDescent="0.2">
      <c r="A422" s="78"/>
      <c r="B422" s="498" t="s">
        <v>457</v>
      </c>
      <c r="C422" s="498"/>
      <c r="D422" s="498"/>
      <c r="E422" s="498"/>
      <c r="F422" s="498"/>
      <c r="G422" s="498"/>
      <c r="H422" s="498"/>
      <c r="I422" s="498"/>
      <c r="J422" s="498"/>
      <c r="K422" s="498"/>
      <c r="L422" s="499"/>
      <c r="M422" s="242">
        <v>8</v>
      </c>
      <c r="N422" s="242">
        <v>4</v>
      </c>
      <c r="O422" s="243" t="s">
        <v>458</v>
      </c>
      <c r="P422" s="244">
        <v>0</v>
      </c>
      <c r="Q422" s="500"/>
      <c r="R422" s="501"/>
      <c r="S422" s="245">
        <v>822.73099999999999</v>
      </c>
      <c r="T422" s="246">
        <v>0</v>
      </c>
      <c r="U422" s="164">
        <v>822.73099999999999</v>
      </c>
      <c r="V422" s="273">
        <f>+V423</f>
        <v>184.39445000000001</v>
      </c>
      <c r="W422" s="273">
        <f t="shared" si="11"/>
        <v>22.412483545654656</v>
      </c>
    </row>
    <row r="423" spans="1:23" ht="21.75" customHeight="1" x14ac:dyDescent="0.2">
      <c r="A423" s="78"/>
      <c r="B423" s="498" t="s">
        <v>36</v>
      </c>
      <c r="C423" s="498"/>
      <c r="D423" s="498"/>
      <c r="E423" s="498"/>
      <c r="F423" s="498"/>
      <c r="G423" s="498"/>
      <c r="H423" s="498"/>
      <c r="I423" s="498"/>
      <c r="J423" s="498"/>
      <c r="K423" s="498"/>
      <c r="L423" s="499"/>
      <c r="M423" s="242">
        <v>8</v>
      </c>
      <c r="N423" s="242">
        <v>4</v>
      </c>
      <c r="O423" s="243" t="s">
        <v>468</v>
      </c>
      <c r="P423" s="244">
        <v>0</v>
      </c>
      <c r="Q423" s="500"/>
      <c r="R423" s="501"/>
      <c r="S423" s="245">
        <v>822.73099999999999</v>
      </c>
      <c r="T423" s="246">
        <v>0</v>
      </c>
      <c r="U423" s="164">
        <v>822.73099999999999</v>
      </c>
      <c r="V423" s="273">
        <f>+V424</f>
        <v>184.39445000000001</v>
      </c>
      <c r="W423" s="273">
        <f t="shared" si="11"/>
        <v>22.412483545654656</v>
      </c>
    </row>
    <row r="424" spans="1:23" ht="32.25" customHeight="1" x14ac:dyDescent="0.2">
      <c r="A424" s="78"/>
      <c r="B424" s="498" t="s">
        <v>469</v>
      </c>
      <c r="C424" s="498"/>
      <c r="D424" s="498"/>
      <c r="E424" s="498"/>
      <c r="F424" s="498"/>
      <c r="G424" s="498"/>
      <c r="H424" s="498"/>
      <c r="I424" s="498"/>
      <c r="J424" s="498"/>
      <c r="K424" s="498"/>
      <c r="L424" s="499"/>
      <c r="M424" s="242">
        <v>8</v>
      </c>
      <c r="N424" s="242">
        <v>4</v>
      </c>
      <c r="O424" s="243" t="s">
        <v>470</v>
      </c>
      <c r="P424" s="244">
        <v>0</v>
      </c>
      <c r="Q424" s="500"/>
      <c r="R424" s="501"/>
      <c r="S424" s="245">
        <v>822.73099999999999</v>
      </c>
      <c r="T424" s="246">
        <v>0</v>
      </c>
      <c r="U424" s="164">
        <v>822.73099999999999</v>
      </c>
      <c r="V424" s="273">
        <f>+V425+V429</f>
        <v>184.39445000000001</v>
      </c>
      <c r="W424" s="273">
        <f t="shared" si="11"/>
        <v>22.412483545654656</v>
      </c>
    </row>
    <row r="425" spans="1:23" ht="53.25" customHeight="1" x14ac:dyDescent="0.2">
      <c r="A425" s="78"/>
      <c r="B425" s="498" t="s">
        <v>17</v>
      </c>
      <c r="C425" s="498"/>
      <c r="D425" s="498"/>
      <c r="E425" s="498"/>
      <c r="F425" s="498"/>
      <c r="G425" s="498"/>
      <c r="H425" s="498"/>
      <c r="I425" s="498"/>
      <c r="J425" s="498"/>
      <c r="K425" s="498"/>
      <c r="L425" s="499"/>
      <c r="M425" s="242">
        <v>8</v>
      </c>
      <c r="N425" s="242">
        <v>4</v>
      </c>
      <c r="O425" s="243" t="s">
        <v>470</v>
      </c>
      <c r="P425" s="244" t="s">
        <v>18</v>
      </c>
      <c r="Q425" s="500"/>
      <c r="R425" s="501"/>
      <c r="S425" s="245">
        <v>820.57100000000003</v>
      </c>
      <c r="T425" s="246">
        <v>0</v>
      </c>
      <c r="U425" s="164">
        <v>820.57100000000003</v>
      </c>
      <c r="V425" s="273">
        <f>+V426</f>
        <v>184.39445000000001</v>
      </c>
      <c r="W425" s="273">
        <f t="shared" si="11"/>
        <v>22.471480225355268</v>
      </c>
    </row>
    <row r="426" spans="1:23" ht="21.75" customHeight="1" x14ac:dyDescent="0.2">
      <c r="A426" s="78"/>
      <c r="B426" s="498" t="s">
        <v>37</v>
      </c>
      <c r="C426" s="498"/>
      <c r="D426" s="498"/>
      <c r="E426" s="498"/>
      <c r="F426" s="498"/>
      <c r="G426" s="498"/>
      <c r="H426" s="498"/>
      <c r="I426" s="498"/>
      <c r="J426" s="498"/>
      <c r="K426" s="498"/>
      <c r="L426" s="499"/>
      <c r="M426" s="242">
        <v>8</v>
      </c>
      <c r="N426" s="242">
        <v>4</v>
      </c>
      <c r="O426" s="243" t="s">
        <v>470</v>
      </c>
      <c r="P426" s="244" t="s">
        <v>38</v>
      </c>
      <c r="Q426" s="500"/>
      <c r="R426" s="501"/>
      <c r="S426" s="245">
        <v>820.57100000000003</v>
      </c>
      <c r="T426" s="246">
        <v>0</v>
      </c>
      <c r="U426" s="164">
        <v>820.57100000000003</v>
      </c>
      <c r="V426" s="273">
        <f>+V427+V428</f>
        <v>184.39445000000001</v>
      </c>
      <c r="W426" s="273">
        <f t="shared" si="11"/>
        <v>22.471480225355268</v>
      </c>
    </row>
    <row r="427" spans="1:23" ht="21.75" customHeight="1" x14ac:dyDescent="0.2">
      <c r="A427" s="78"/>
      <c r="B427" s="498" t="s">
        <v>333</v>
      </c>
      <c r="C427" s="498"/>
      <c r="D427" s="498"/>
      <c r="E427" s="498"/>
      <c r="F427" s="498"/>
      <c r="G427" s="498"/>
      <c r="H427" s="498"/>
      <c r="I427" s="498"/>
      <c r="J427" s="498"/>
      <c r="K427" s="498"/>
      <c r="L427" s="499"/>
      <c r="M427" s="242">
        <v>8</v>
      </c>
      <c r="N427" s="242">
        <v>4</v>
      </c>
      <c r="O427" s="243" t="s">
        <v>470</v>
      </c>
      <c r="P427" s="244" t="s">
        <v>39</v>
      </c>
      <c r="Q427" s="500"/>
      <c r="R427" s="501"/>
      <c r="S427" s="245">
        <v>630.23900000000003</v>
      </c>
      <c r="T427" s="246">
        <v>0</v>
      </c>
      <c r="U427" s="164">
        <v>630.23900000000003</v>
      </c>
      <c r="V427" s="273">
        <f>+'11'!AG89</f>
        <v>141.624</v>
      </c>
      <c r="W427" s="273">
        <f t="shared" si="11"/>
        <v>22.47147510706256</v>
      </c>
    </row>
    <row r="428" spans="1:23" ht="32.25" customHeight="1" x14ac:dyDescent="0.2">
      <c r="A428" s="78"/>
      <c r="B428" s="498" t="s">
        <v>334</v>
      </c>
      <c r="C428" s="498"/>
      <c r="D428" s="498"/>
      <c r="E428" s="498"/>
      <c r="F428" s="498"/>
      <c r="G428" s="498"/>
      <c r="H428" s="498"/>
      <c r="I428" s="498"/>
      <c r="J428" s="498"/>
      <c r="K428" s="498"/>
      <c r="L428" s="499"/>
      <c r="M428" s="242">
        <v>8</v>
      </c>
      <c r="N428" s="242">
        <v>4</v>
      </c>
      <c r="O428" s="243" t="s">
        <v>470</v>
      </c>
      <c r="P428" s="244" t="s">
        <v>41</v>
      </c>
      <c r="Q428" s="500"/>
      <c r="R428" s="501"/>
      <c r="S428" s="245">
        <v>190.33199999999999</v>
      </c>
      <c r="T428" s="246">
        <v>0</v>
      </c>
      <c r="U428" s="164">
        <v>190.33199999999999</v>
      </c>
      <c r="V428" s="273">
        <f>+'11'!AG90</f>
        <v>42.770449999999997</v>
      </c>
      <c r="W428" s="273">
        <f t="shared" si="11"/>
        <v>22.471497173360234</v>
      </c>
    </row>
    <row r="429" spans="1:23" ht="21.75" customHeight="1" x14ac:dyDescent="0.2">
      <c r="A429" s="78"/>
      <c r="B429" s="498" t="s">
        <v>345</v>
      </c>
      <c r="C429" s="498"/>
      <c r="D429" s="498"/>
      <c r="E429" s="498"/>
      <c r="F429" s="498"/>
      <c r="G429" s="498"/>
      <c r="H429" s="498"/>
      <c r="I429" s="498"/>
      <c r="J429" s="498"/>
      <c r="K429" s="498"/>
      <c r="L429" s="499"/>
      <c r="M429" s="242">
        <v>8</v>
      </c>
      <c r="N429" s="242">
        <v>4</v>
      </c>
      <c r="O429" s="243" t="s">
        <v>470</v>
      </c>
      <c r="P429" s="244" t="s">
        <v>24</v>
      </c>
      <c r="Q429" s="500"/>
      <c r="R429" s="501"/>
      <c r="S429" s="245">
        <v>2.16</v>
      </c>
      <c r="T429" s="246">
        <v>0</v>
      </c>
      <c r="U429" s="164">
        <v>2.16</v>
      </c>
      <c r="V429" s="273">
        <f>+V430</f>
        <v>0</v>
      </c>
      <c r="W429" s="273">
        <f t="shared" si="11"/>
        <v>0</v>
      </c>
    </row>
    <row r="430" spans="1:23" ht="21.75" customHeight="1" x14ac:dyDescent="0.2">
      <c r="A430" s="78"/>
      <c r="B430" s="498" t="s">
        <v>346</v>
      </c>
      <c r="C430" s="498"/>
      <c r="D430" s="498"/>
      <c r="E430" s="498"/>
      <c r="F430" s="498"/>
      <c r="G430" s="498"/>
      <c r="H430" s="498"/>
      <c r="I430" s="498"/>
      <c r="J430" s="498"/>
      <c r="K430" s="498"/>
      <c r="L430" s="499"/>
      <c r="M430" s="242">
        <v>8</v>
      </c>
      <c r="N430" s="242">
        <v>4</v>
      </c>
      <c r="O430" s="243" t="s">
        <v>470</v>
      </c>
      <c r="P430" s="244" t="s">
        <v>26</v>
      </c>
      <c r="Q430" s="500"/>
      <c r="R430" s="501"/>
      <c r="S430" s="245">
        <v>2.16</v>
      </c>
      <c r="T430" s="246">
        <v>0</v>
      </c>
      <c r="U430" s="164">
        <v>2.16</v>
      </c>
      <c r="V430" s="273">
        <f>+V431</f>
        <v>0</v>
      </c>
      <c r="W430" s="273">
        <f t="shared" si="11"/>
        <v>0</v>
      </c>
    </row>
    <row r="431" spans="1:23" ht="12.75" customHeight="1" x14ac:dyDescent="0.2">
      <c r="A431" s="78"/>
      <c r="B431" s="498" t="s">
        <v>348</v>
      </c>
      <c r="C431" s="498"/>
      <c r="D431" s="498"/>
      <c r="E431" s="498"/>
      <c r="F431" s="498"/>
      <c r="G431" s="498"/>
      <c r="H431" s="498"/>
      <c r="I431" s="498"/>
      <c r="J431" s="498"/>
      <c r="K431" s="498"/>
      <c r="L431" s="499"/>
      <c r="M431" s="242">
        <v>8</v>
      </c>
      <c r="N431" s="242">
        <v>4</v>
      </c>
      <c r="O431" s="243" t="s">
        <v>470</v>
      </c>
      <c r="P431" s="244" t="s">
        <v>28</v>
      </c>
      <c r="Q431" s="500"/>
      <c r="R431" s="501"/>
      <c r="S431" s="245">
        <v>2.16</v>
      </c>
      <c r="T431" s="246">
        <v>0</v>
      </c>
      <c r="U431" s="164">
        <v>2.16</v>
      </c>
      <c r="V431" s="273"/>
      <c r="W431" s="273">
        <f t="shared" si="11"/>
        <v>0</v>
      </c>
    </row>
    <row r="432" spans="1:23" ht="21.75" customHeight="1" x14ac:dyDescent="0.2">
      <c r="A432" s="78"/>
      <c r="B432" s="498" t="s">
        <v>457</v>
      </c>
      <c r="C432" s="498"/>
      <c r="D432" s="498"/>
      <c r="E432" s="498"/>
      <c r="F432" s="498"/>
      <c r="G432" s="498"/>
      <c r="H432" s="498"/>
      <c r="I432" s="498"/>
      <c r="J432" s="498"/>
      <c r="K432" s="498"/>
      <c r="L432" s="499"/>
      <c r="M432" s="242">
        <v>8</v>
      </c>
      <c r="N432" s="242">
        <v>4</v>
      </c>
      <c r="O432" s="243" t="s">
        <v>458</v>
      </c>
      <c r="P432" s="244">
        <v>0</v>
      </c>
      <c r="Q432" s="500"/>
      <c r="R432" s="501"/>
      <c r="S432" s="245">
        <v>1903.0170000000001</v>
      </c>
      <c r="T432" s="246">
        <v>0</v>
      </c>
      <c r="U432" s="164">
        <v>1903.0170000000001</v>
      </c>
      <c r="V432" s="273">
        <f>+V433</f>
        <v>506.45278999999999</v>
      </c>
      <c r="W432" s="273">
        <f t="shared" si="11"/>
        <v>26.613151117409878</v>
      </c>
    </row>
    <row r="433" spans="1:23" ht="21.75" customHeight="1" x14ac:dyDescent="0.2">
      <c r="A433" s="78"/>
      <c r="B433" s="498" t="s">
        <v>36</v>
      </c>
      <c r="C433" s="498"/>
      <c r="D433" s="498"/>
      <c r="E433" s="498"/>
      <c r="F433" s="498"/>
      <c r="G433" s="498"/>
      <c r="H433" s="498"/>
      <c r="I433" s="498"/>
      <c r="J433" s="498"/>
      <c r="K433" s="498"/>
      <c r="L433" s="499"/>
      <c r="M433" s="242">
        <v>8</v>
      </c>
      <c r="N433" s="242">
        <v>4</v>
      </c>
      <c r="O433" s="243" t="s">
        <v>468</v>
      </c>
      <c r="P433" s="244">
        <v>0</v>
      </c>
      <c r="Q433" s="500"/>
      <c r="R433" s="501"/>
      <c r="S433" s="245">
        <v>1903.0170000000001</v>
      </c>
      <c r="T433" s="246">
        <v>0</v>
      </c>
      <c r="U433" s="164">
        <v>1903.0170000000001</v>
      </c>
      <c r="V433" s="273">
        <f>+V434</f>
        <v>506.45278999999999</v>
      </c>
      <c r="W433" s="273">
        <f t="shared" si="11"/>
        <v>26.613151117409878</v>
      </c>
    </row>
    <row r="434" spans="1:23" ht="21.75" customHeight="1" x14ac:dyDescent="0.2">
      <c r="A434" s="78"/>
      <c r="B434" s="498" t="s">
        <v>471</v>
      </c>
      <c r="C434" s="498"/>
      <c r="D434" s="498"/>
      <c r="E434" s="498"/>
      <c r="F434" s="498"/>
      <c r="G434" s="498"/>
      <c r="H434" s="498"/>
      <c r="I434" s="498"/>
      <c r="J434" s="498"/>
      <c r="K434" s="498"/>
      <c r="L434" s="499"/>
      <c r="M434" s="242">
        <v>8</v>
      </c>
      <c r="N434" s="242">
        <v>4</v>
      </c>
      <c r="O434" s="243" t="s">
        <v>472</v>
      </c>
      <c r="P434" s="244">
        <v>0</v>
      </c>
      <c r="Q434" s="500"/>
      <c r="R434" s="501"/>
      <c r="S434" s="245">
        <v>1903.0170000000001</v>
      </c>
      <c r="T434" s="246">
        <v>0</v>
      </c>
      <c r="U434" s="164">
        <v>1903.0170000000001</v>
      </c>
      <c r="V434" s="273">
        <f>+V435+V439</f>
        <v>506.45278999999999</v>
      </c>
      <c r="W434" s="273">
        <f t="shared" si="11"/>
        <v>26.613151117409878</v>
      </c>
    </row>
    <row r="435" spans="1:23" ht="53.25" customHeight="1" x14ac:dyDescent="0.2">
      <c r="A435" s="78"/>
      <c r="B435" s="498" t="s">
        <v>17</v>
      </c>
      <c r="C435" s="498"/>
      <c r="D435" s="498"/>
      <c r="E435" s="498"/>
      <c r="F435" s="498"/>
      <c r="G435" s="498"/>
      <c r="H435" s="498"/>
      <c r="I435" s="498"/>
      <c r="J435" s="498"/>
      <c r="K435" s="498"/>
      <c r="L435" s="499"/>
      <c r="M435" s="242">
        <v>8</v>
      </c>
      <c r="N435" s="242">
        <v>4</v>
      </c>
      <c r="O435" s="243" t="s">
        <v>472</v>
      </c>
      <c r="P435" s="244" t="s">
        <v>18</v>
      </c>
      <c r="Q435" s="500"/>
      <c r="R435" s="501"/>
      <c r="S435" s="245">
        <v>1663.0509999999999</v>
      </c>
      <c r="T435" s="246">
        <v>0</v>
      </c>
      <c r="U435" s="164">
        <v>1663.0509999999999</v>
      </c>
      <c r="V435" s="273">
        <f>+V436</f>
        <v>458.03278999999998</v>
      </c>
      <c r="W435" s="273">
        <f t="shared" si="11"/>
        <v>27.541716399557199</v>
      </c>
    </row>
    <row r="436" spans="1:23" ht="12.75" customHeight="1" x14ac:dyDescent="0.2">
      <c r="A436" s="78"/>
      <c r="B436" s="498" t="s">
        <v>19</v>
      </c>
      <c r="C436" s="498"/>
      <c r="D436" s="498"/>
      <c r="E436" s="498"/>
      <c r="F436" s="498"/>
      <c r="G436" s="498"/>
      <c r="H436" s="498"/>
      <c r="I436" s="498"/>
      <c r="J436" s="498"/>
      <c r="K436" s="498"/>
      <c r="L436" s="499"/>
      <c r="M436" s="242">
        <v>8</v>
      </c>
      <c r="N436" s="242">
        <v>4</v>
      </c>
      <c r="O436" s="243" t="s">
        <v>472</v>
      </c>
      <c r="P436" s="244" t="s">
        <v>20</v>
      </c>
      <c r="Q436" s="500"/>
      <c r="R436" s="501"/>
      <c r="S436" s="245">
        <v>1663.0509999999999</v>
      </c>
      <c r="T436" s="246">
        <v>0</v>
      </c>
      <c r="U436" s="164">
        <v>1663.0509999999999</v>
      </c>
      <c r="V436" s="273">
        <f>+V437+V438</f>
        <v>458.03278999999998</v>
      </c>
      <c r="W436" s="273">
        <f t="shared" si="11"/>
        <v>27.541716399557199</v>
      </c>
    </row>
    <row r="437" spans="1:23" ht="12.75" customHeight="1" x14ac:dyDescent="0.2">
      <c r="A437" s="78"/>
      <c r="B437" s="498" t="s">
        <v>404</v>
      </c>
      <c r="C437" s="498"/>
      <c r="D437" s="498"/>
      <c r="E437" s="498"/>
      <c r="F437" s="498"/>
      <c r="G437" s="498"/>
      <c r="H437" s="498"/>
      <c r="I437" s="498"/>
      <c r="J437" s="498"/>
      <c r="K437" s="498"/>
      <c r="L437" s="499"/>
      <c r="M437" s="242">
        <v>8</v>
      </c>
      <c r="N437" s="242">
        <v>4</v>
      </c>
      <c r="O437" s="243" t="s">
        <v>472</v>
      </c>
      <c r="P437" s="244" t="s">
        <v>21</v>
      </c>
      <c r="Q437" s="500"/>
      <c r="R437" s="501"/>
      <c r="S437" s="245">
        <v>1277.3050000000001</v>
      </c>
      <c r="T437" s="246">
        <v>0</v>
      </c>
      <c r="U437" s="164">
        <v>1277.3050000000001</v>
      </c>
      <c r="V437" s="273">
        <f>+'11'!AG99</f>
        <v>352.95400000000001</v>
      </c>
      <c r="W437" s="273">
        <f t="shared" si="11"/>
        <v>27.632711059613797</v>
      </c>
    </row>
    <row r="438" spans="1:23" ht="32.25" customHeight="1" x14ac:dyDescent="0.2">
      <c r="A438" s="78"/>
      <c r="B438" s="498" t="s">
        <v>406</v>
      </c>
      <c r="C438" s="498"/>
      <c r="D438" s="498"/>
      <c r="E438" s="498"/>
      <c r="F438" s="498"/>
      <c r="G438" s="498"/>
      <c r="H438" s="498"/>
      <c r="I438" s="498"/>
      <c r="J438" s="498"/>
      <c r="K438" s="498"/>
      <c r="L438" s="499"/>
      <c r="M438" s="242">
        <v>8</v>
      </c>
      <c r="N438" s="242">
        <v>4</v>
      </c>
      <c r="O438" s="243" t="s">
        <v>472</v>
      </c>
      <c r="P438" s="244" t="s">
        <v>23</v>
      </c>
      <c r="Q438" s="500"/>
      <c r="R438" s="501"/>
      <c r="S438" s="245">
        <v>385.74599999999998</v>
      </c>
      <c r="T438" s="246">
        <v>0</v>
      </c>
      <c r="U438" s="164">
        <v>385.74599999999998</v>
      </c>
      <c r="V438" s="273">
        <f>+'11'!AG100</f>
        <v>105.07879</v>
      </c>
      <c r="W438" s="273">
        <f t="shared" si="11"/>
        <v>27.24040949225656</v>
      </c>
    </row>
    <row r="439" spans="1:23" ht="21.75" customHeight="1" x14ac:dyDescent="0.2">
      <c r="A439" s="78"/>
      <c r="B439" s="498" t="s">
        <v>345</v>
      </c>
      <c r="C439" s="498"/>
      <c r="D439" s="498"/>
      <c r="E439" s="498"/>
      <c r="F439" s="498"/>
      <c r="G439" s="498"/>
      <c r="H439" s="498"/>
      <c r="I439" s="498"/>
      <c r="J439" s="498"/>
      <c r="K439" s="498"/>
      <c r="L439" s="499"/>
      <c r="M439" s="242">
        <v>8</v>
      </c>
      <c r="N439" s="242">
        <v>4</v>
      </c>
      <c r="O439" s="243" t="s">
        <v>472</v>
      </c>
      <c r="P439" s="244" t="s">
        <v>24</v>
      </c>
      <c r="Q439" s="500"/>
      <c r="R439" s="501"/>
      <c r="S439" s="245">
        <v>239.96600000000001</v>
      </c>
      <c r="T439" s="246">
        <v>0</v>
      </c>
      <c r="U439" s="164">
        <v>239.96600000000001</v>
      </c>
      <c r="V439" s="273">
        <f>+V440</f>
        <v>48.42</v>
      </c>
      <c r="W439" s="273">
        <f t="shared" si="11"/>
        <v>20.17785852995841</v>
      </c>
    </row>
    <row r="440" spans="1:23" ht="21.75" customHeight="1" x14ac:dyDescent="0.2">
      <c r="A440" s="78"/>
      <c r="B440" s="498" t="s">
        <v>346</v>
      </c>
      <c r="C440" s="498"/>
      <c r="D440" s="498"/>
      <c r="E440" s="498"/>
      <c r="F440" s="498"/>
      <c r="G440" s="498"/>
      <c r="H440" s="498"/>
      <c r="I440" s="498"/>
      <c r="J440" s="498"/>
      <c r="K440" s="498"/>
      <c r="L440" s="499"/>
      <c r="M440" s="242">
        <v>8</v>
      </c>
      <c r="N440" s="242">
        <v>4</v>
      </c>
      <c r="O440" s="243" t="s">
        <v>472</v>
      </c>
      <c r="P440" s="244" t="s">
        <v>26</v>
      </c>
      <c r="Q440" s="500"/>
      <c r="R440" s="501"/>
      <c r="S440" s="245">
        <v>239.96600000000001</v>
      </c>
      <c r="T440" s="246">
        <v>0</v>
      </c>
      <c r="U440" s="164">
        <v>239.96600000000001</v>
      </c>
      <c r="V440" s="273">
        <f>+V441+V442</f>
        <v>48.42</v>
      </c>
      <c r="W440" s="273">
        <f t="shared" si="11"/>
        <v>20.17785852995841</v>
      </c>
    </row>
    <row r="441" spans="1:23" ht="21.75" customHeight="1" x14ac:dyDescent="0.2">
      <c r="A441" s="78"/>
      <c r="B441" s="498" t="s">
        <v>347</v>
      </c>
      <c r="C441" s="498"/>
      <c r="D441" s="498"/>
      <c r="E441" s="498"/>
      <c r="F441" s="498"/>
      <c r="G441" s="498"/>
      <c r="H441" s="498"/>
      <c r="I441" s="498"/>
      <c r="J441" s="498"/>
      <c r="K441" s="498"/>
      <c r="L441" s="499"/>
      <c r="M441" s="242">
        <v>8</v>
      </c>
      <c r="N441" s="242">
        <v>4</v>
      </c>
      <c r="O441" s="243" t="s">
        <v>472</v>
      </c>
      <c r="P441" s="244" t="s">
        <v>27</v>
      </c>
      <c r="Q441" s="500"/>
      <c r="R441" s="501"/>
      <c r="S441" s="245">
        <v>118.086</v>
      </c>
      <c r="T441" s="246">
        <v>0</v>
      </c>
      <c r="U441" s="164">
        <v>118.086</v>
      </c>
      <c r="V441" s="273">
        <f>+'11'!AG103</f>
        <v>38.42</v>
      </c>
      <c r="W441" s="273">
        <f t="shared" si="11"/>
        <v>32.535609640431552</v>
      </c>
    </row>
    <row r="442" spans="1:23" ht="12.75" customHeight="1" x14ac:dyDescent="0.2">
      <c r="A442" s="78"/>
      <c r="B442" s="498" t="s">
        <v>348</v>
      </c>
      <c r="C442" s="498"/>
      <c r="D442" s="498"/>
      <c r="E442" s="498"/>
      <c r="F442" s="498"/>
      <c r="G442" s="498"/>
      <c r="H442" s="498"/>
      <c r="I442" s="498"/>
      <c r="J442" s="498"/>
      <c r="K442" s="498"/>
      <c r="L442" s="499"/>
      <c r="M442" s="242">
        <v>8</v>
      </c>
      <c r="N442" s="242">
        <v>4</v>
      </c>
      <c r="O442" s="243" t="s">
        <v>472</v>
      </c>
      <c r="P442" s="244" t="s">
        <v>28</v>
      </c>
      <c r="Q442" s="500"/>
      <c r="R442" s="501"/>
      <c r="S442" s="245">
        <v>121.88</v>
      </c>
      <c r="T442" s="246">
        <v>0</v>
      </c>
      <c r="U442" s="164">
        <v>121.88</v>
      </c>
      <c r="V442" s="273">
        <f>+'11'!AG104</f>
        <v>10</v>
      </c>
      <c r="W442" s="273">
        <f t="shared" si="11"/>
        <v>8.2047915982934043</v>
      </c>
    </row>
    <row r="443" spans="1:23" ht="12.75" customHeight="1" x14ac:dyDescent="0.2">
      <c r="A443" s="78"/>
      <c r="B443" s="510" t="s">
        <v>567</v>
      </c>
      <c r="C443" s="510"/>
      <c r="D443" s="510"/>
      <c r="E443" s="510"/>
      <c r="F443" s="510"/>
      <c r="G443" s="510"/>
      <c r="H443" s="510"/>
      <c r="I443" s="510"/>
      <c r="J443" s="510"/>
      <c r="K443" s="510"/>
      <c r="L443" s="511"/>
      <c r="M443" s="232">
        <v>9</v>
      </c>
      <c r="N443" s="232">
        <v>0</v>
      </c>
      <c r="O443" s="233">
        <v>0</v>
      </c>
      <c r="P443" s="234">
        <v>0</v>
      </c>
      <c r="Q443" s="512"/>
      <c r="R443" s="513"/>
      <c r="S443" s="235">
        <v>226</v>
      </c>
      <c r="T443" s="236">
        <v>0</v>
      </c>
      <c r="U443" s="165">
        <v>226</v>
      </c>
      <c r="V443" s="273">
        <f t="shared" ref="V443:V448" si="12">+V444</f>
        <v>19.899999999999999</v>
      </c>
      <c r="W443" s="273">
        <f t="shared" si="11"/>
        <v>8.8053097345132745</v>
      </c>
    </row>
    <row r="444" spans="1:23" ht="12.75" customHeight="1" x14ac:dyDescent="0.25">
      <c r="A444" s="78"/>
      <c r="B444" s="502" t="s">
        <v>568</v>
      </c>
      <c r="C444" s="502"/>
      <c r="D444" s="502"/>
      <c r="E444" s="502"/>
      <c r="F444" s="502"/>
      <c r="G444" s="502"/>
      <c r="H444" s="502"/>
      <c r="I444" s="502"/>
      <c r="J444" s="502"/>
      <c r="K444" s="502"/>
      <c r="L444" s="503"/>
      <c r="M444" s="237">
        <v>9</v>
      </c>
      <c r="N444" s="237">
        <v>9</v>
      </c>
      <c r="O444" s="238">
        <v>0</v>
      </c>
      <c r="P444" s="239">
        <v>0</v>
      </c>
      <c r="Q444" s="504"/>
      <c r="R444" s="505"/>
      <c r="S444" s="240">
        <v>226</v>
      </c>
      <c r="T444" s="241">
        <v>0</v>
      </c>
      <c r="U444" s="274">
        <v>226</v>
      </c>
      <c r="V444" s="273">
        <f t="shared" si="12"/>
        <v>19.899999999999999</v>
      </c>
      <c r="W444" s="273">
        <f t="shared" si="11"/>
        <v>8.8053097345132745</v>
      </c>
    </row>
    <row r="445" spans="1:23" ht="32.25" customHeight="1" x14ac:dyDescent="0.2">
      <c r="A445" s="78"/>
      <c r="B445" s="498" t="s">
        <v>390</v>
      </c>
      <c r="C445" s="498"/>
      <c r="D445" s="498"/>
      <c r="E445" s="498"/>
      <c r="F445" s="498"/>
      <c r="G445" s="498"/>
      <c r="H445" s="498"/>
      <c r="I445" s="498"/>
      <c r="J445" s="498"/>
      <c r="K445" s="498"/>
      <c r="L445" s="499"/>
      <c r="M445" s="242">
        <v>9</v>
      </c>
      <c r="N445" s="242">
        <v>9</v>
      </c>
      <c r="O445" s="243" t="s">
        <v>391</v>
      </c>
      <c r="P445" s="244">
        <v>0</v>
      </c>
      <c r="Q445" s="500"/>
      <c r="R445" s="501"/>
      <c r="S445" s="245">
        <v>226</v>
      </c>
      <c r="T445" s="246">
        <v>0</v>
      </c>
      <c r="U445" s="164">
        <v>226</v>
      </c>
      <c r="V445" s="273">
        <f t="shared" si="12"/>
        <v>19.899999999999999</v>
      </c>
      <c r="W445" s="273">
        <f t="shared" si="11"/>
        <v>8.8053097345132745</v>
      </c>
    </row>
    <row r="446" spans="1:23" ht="42.75" customHeight="1" x14ac:dyDescent="0.2">
      <c r="A446" s="78"/>
      <c r="B446" s="498" t="s">
        <v>88</v>
      </c>
      <c r="C446" s="498"/>
      <c r="D446" s="498"/>
      <c r="E446" s="498"/>
      <c r="F446" s="498"/>
      <c r="G446" s="498"/>
      <c r="H446" s="498"/>
      <c r="I446" s="498"/>
      <c r="J446" s="498"/>
      <c r="K446" s="498"/>
      <c r="L446" s="499"/>
      <c r="M446" s="242">
        <v>9</v>
      </c>
      <c r="N446" s="242">
        <v>9</v>
      </c>
      <c r="O446" s="243" t="s">
        <v>392</v>
      </c>
      <c r="P446" s="244">
        <v>0</v>
      </c>
      <c r="Q446" s="500"/>
      <c r="R446" s="501"/>
      <c r="S446" s="245">
        <v>226</v>
      </c>
      <c r="T446" s="246">
        <v>0</v>
      </c>
      <c r="U446" s="164">
        <v>226</v>
      </c>
      <c r="V446" s="273">
        <f t="shared" si="12"/>
        <v>19.899999999999999</v>
      </c>
      <c r="W446" s="273">
        <f t="shared" si="11"/>
        <v>8.8053097345132745</v>
      </c>
    </row>
    <row r="447" spans="1:23" ht="21.75" customHeight="1" x14ac:dyDescent="0.2">
      <c r="A447" s="78"/>
      <c r="B447" s="498" t="s">
        <v>345</v>
      </c>
      <c r="C447" s="498"/>
      <c r="D447" s="498"/>
      <c r="E447" s="498"/>
      <c r="F447" s="498"/>
      <c r="G447" s="498"/>
      <c r="H447" s="498"/>
      <c r="I447" s="498"/>
      <c r="J447" s="498"/>
      <c r="K447" s="498"/>
      <c r="L447" s="499"/>
      <c r="M447" s="242">
        <v>9</v>
      </c>
      <c r="N447" s="242">
        <v>9</v>
      </c>
      <c r="O447" s="243" t="s">
        <v>392</v>
      </c>
      <c r="P447" s="244" t="s">
        <v>24</v>
      </c>
      <c r="Q447" s="500"/>
      <c r="R447" s="501"/>
      <c r="S447" s="245">
        <v>226</v>
      </c>
      <c r="T447" s="246">
        <v>0</v>
      </c>
      <c r="U447" s="164">
        <v>226</v>
      </c>
      <c r="V447" s="273">
        <f t="shared" si="12"/>
        <v>19.899999999999999</v>
      </c>
      <c r="W447" s="273">
        <f t="shared" si="11"/>
        <v>8.8053097345132745</v>
      </c>
    </row>
    <row r="448" spans="1:23" ht="21.75" customHeight="1" x14ac:dyDescent="0.2">
      <c r="A448" s="78"/>
      <c r="B448" s="498" t="s">
        <v>346</v>
      </c>
      <c r="C448" s="498"/>
      <c r="D448" s="498"/>
      <c r="E448" s="498"/>
      <c r="F448" s="498"/>
      <c r="G448" s="498"/>
      <c r="H448" s="498"/>
      <c r="I448" s="498"/>
      <c r="J448" s="498"/>
      <c r="K448" s="498"/>
      <c r="L448" s="499"/>
      <c r="M448" s="242">
        <v>9</v>
      </c>
      <c r="N448" s="242">
        <v>9</v>
      </c>
      <c r="O448" s="243" t="s">
        <v>392</v>
      </c>
      <c r="P448" s="244" t="s">
        <v>26</v>
      </c>
      <c r="Q448" s="500"/>
      <c r="R448" s="501"/>
      <c r="S448" s="245">
        <v>226</v>
      </c>
      <c r="T448" s="246">
        <v>0</v>
      </c>
      <c r="U448" s="164">
        <v>226</v>
      </c>
      <c r="V448" s="273">
        <f t="shared" si="12"/>
        <v>19.899999999999999</v>
      </c>
      <c r="W448" s="273">
        <f t="shared" si="11"/>
        <v>8.8053097345132745</v>
      </c>
    </row>
    <row r="449" spans="1:23" ht="12.75" customHeight="1" x14ac:dyDescent="0.2">
      <c r="A449" s="78"/>
      <c r="B449" s="498" t="s">
        <v>348</v>
      </c>
      <c r="C449" s="498"/>
      <c r="D449" s="498"/>
      <c r="E449" s="498"/>
      <c r="F449" s="498"/>
      <c r="G449" s="498"/>
      <c r="H449" s="498"/>
      <c r="I449" s="498"/>
      <c r="J449" s="498"/>
      <c r="K449" s="498"/>
      <c r="L449" s="499"/>
      <c r="M449" s="242">
        <v>9</v>
      </c>
      <c r="N449" s="242">
        <v>9</v>
      </c>
      <c r="O449" s="243" t="s">
        <v>392</v>
      </c>
      <c r="P449" s="244" t="s">
        <v>28</v>
      </c>
      <c r="Q449" s="500"/>
      <c r="R449" s="501"/>
      <c r="S449" s="245">
        <v>226</v>
      </c>
      <c r="T449" s="246">
        <v>0</v>
      </c>
      <c r="U449" s="164">
        <v>226</v>
      </c>
      <c r="V449" s="273">
        <f>+'11'!AG546</f>
        <v>19.899999999999999</v>
      </c>
      <c r="W449" s="273">
        <f t="shared" si="11"/>
        <v>8.8053097345132745</v>
      </c>
    </row>
    <row r="450" spans="1:23" ht="12.75" customHeight="1" x14ac:dyDescent="0.2">
      <c r="A450" s="78"/>
      <c r="B450" s="510" t="s">
        <v>150</v>
      </c>
      <c r="C450" s="510"/>
      <c r="D450" s="510"/>
      <c r="E450" s="510"/>
      <c r="F450" s="510"/>
      <c r="G450" s="510"/>
      <c r="H450" s="510"/>
      <c r="I450" s="510"/>
      <c r="J450" s="510"/>
      <c r="K450" s="510"/>
      <c r="L450" s="511"/>
      <c r="M450" s="232">
        <v>10</v>
      </c>
      <c r="N450" s="232">
        <v>0</v>
      </c>
      <c r="O450" s="233">
        <v>0</v>
      </c>
      <c r="P450" s="234">
        <v>0</v>
      </c>
      <c r="Q450" s="512"/>
      <c r="R450" s="513"/>
      <c r="S450" s="235">
        <v>65311.904000000002</v>
      </c>
      <c r="T450" s="236">
        <v>0</v>
      </c>
      <c r="U450" s="165">
        <v>65311.904000000002</v>
      </c>
      <c r="V450" s="273">
        <f>+V451+V540+V563</f>
        <v>13914.365249999999</v>
      </c>
      <c r="W450" s="273">
        <f t="shared" si="11"/>
        <v>21.304485702943214</v>
      </c>
    </row>
    <row r="451" spans="1:23" ht="12.75" customHeight="1" x14ac:dyDescent="0.25">
      <c r="A451" s="78"/>
      <c r="B451" s="502" t="s">
        <v>52</v>
      </c>
      <c r="C451" s="502"/>
      <c r="D451" s="502"/>
      <c r="E451" s="502"/>
      <c r="F451" s="502"/>
      <c r="G451" s="502"/>
      <c r="H451" s="502"/>
      <c r="I451" s="502"/>
      <c r="J451" s="502"/>
      <c r="K451" s="502"/>
      <c r="L451" s="503"/>
      <c r="M451" s="237">
        <v>10</v>
      </c>
      <c r="N451" s="237">
        <v>3</v>
      </c>
      <c r="O451" s="238">
        <v>0</v>
      </c>
      <c r="P451" s="239">
        <v>0</v>
      </c>
      <c r="Q451" s="504"/>
      <c r="R451" s="505"/>
      <c r="S451" s="240">
        <v>24627.32</v>
      </c>
      <c r="T451" s="241">
        <v>0</v>
      </c>
      <c r="U451" s="274">
        <v>24627.32</v>
      </c>
      <c r="V451" s="273">
        <f>+V452+V458+V467+V473+V479+V485+V494+V503+V512+V518+V524+V530+V536</f>
        <v>4365.34782</v>
      </c>
      <c r="W451" s="273">
        <f t="shared" si="11"/>
        <v>17.725630803514147</v>
      </c>
    </row>
    <row r="452" spans="1:23" ht="21.75" customHeight="1" x14ac:dyDescent="0.2">
      <c r="A452" s="78"/>
      <c r="B452" s="498" t="s">
        <v>155</v>
      </c>
      <c r="C452" s="498"/>
      <c r="D452" s="498"/>
      <c r="E452" s="498"/>
      <c r="F452" s="498"/>
      <c r="G452" s="498"/>
      <c r="H452" s="498"/>
      <c r="I452" s="498"/>
      <c r="J452" s="498"/>
      <c r="K452" s="498"/>
      <c r="L452" s="499"/>
      <c r="M452" s="242">
        <v>10</v>
      </c>
      <c r="N452" s="242">
        <v>3</v>
      </c>
      <c r="O452" s="243" t="s">
        <v>473</v>
      </c>
      <c r="P452" s="244">
        <v>0</v>
      </c>
      <c r="Q452" s="500"/>
      <c r="R452" s="501"/>
      <c r="S452" s="245">
        <v>1793</v>
      </c>
      <c r="T452" s="246">
        <v>0</v>
      </c>
      <c r="U452" s="164">
        <v>1793</v>
      </c>
      <c r="V452" s="273">
        <f>+V453</f>
        <v>0</v>
      </c>
      <c r="W452" s="273">
        <f t="shared" si="11"/>
        <v>0</v>
      </c>
    </row>
    <row r="453" spans="1:23" ht="21.75" customHeight="1" x14ac:dyDescent="0.2">
      <c r="A453" s="78"/>
      <c r="B453" s="498" t="s">
        <v>42</v>
      </c>
      <c r="C453" s="498"/>
      <c r="D453" s="498"/>
      <c r="E453" s="498"/>
      <c r="F453" s="498"/>
      <c r="G453" s="498"/>
      <c r="H453" s="498"/>
      <c r="I453" s="498"/>
      <c r="J453" s="498"/>
      <c r="K453" s="498"/>
      <c r="L453" s="499"/>
      <c r="M453" s="242">
        <v>10</v>
      </c>
      <c r="N453" s="242">
        <v>3</v>
      </c>
      <c r="O453" s="243" t="s">
        <v>474</v>
      </c>
      <c r="P453" s="244">
        <v>0</v>
      </c>
      <c r="Q453" s="500"/>
      <c r="R453" s="501"/>
      <c r="S453" s="245">
        <v>1793</v>
      </c>
      <c r="T453" s="246">
        <v>0</v>
      </c>
      <c r="U453" s="164">
        <v>1793</v>
      </c>
      <c r="V453" s="273">
        <f>+V454</f>
        <v>0</v>
      </c>
      <c r="W453" s="273">
        <f t="shared" si="11"/>
        <v>0</v>
      </c>
    </row>
    <row r="454" spans="1:23" ht="32.25" customHeight="1" x14ac:dyDescent="0.2">
      <c r="A454" s="78"/>
      <c r="B454" s="498" t="s">
        <v>300</v>
      </c>
      <c r="C454" s="498"/>
      <c r="D454" s="498"/>
      <c r="E454" s="498"/>
      <c r="F454" s="498"/>
      <c r="G454" s="498"/>
      <c r="H454" s="498"/>
      <c r="I454" s="498"/>
      <c r="J454" s="498"/>
      <c r="K454" s="498"/>
      <c r="L454" s="499"/>
      <c r="M454" s="242">
        <v>10</v>
      </c>
      <c r="N454" s="242">
        <v>3</v>
      </c>
      <c r="O454" s="243" t="s">
        <v>475</v>
      </c>
      <c r="P454" s="244">
        <v>0</v>
      </c>
      <c r="Q454" s="500"/>
      <c r="R454" s="501"/>
      <c r="S454" s="245">
        <v>1793</v>
      </c>
      <c r="T454" s="246">
        <v>0</v>
      </c>
      <c r="U454" s="164">
        <v>1793</v>
      </c>
      <c r="V454" s="273">
        <f>+V455</f>
        <v>0</v>
      </c>
      <c r="W454" s="273">
        <f t="shared" si="11"/>
        <v>0</v>
      </c>
    </row>
    <row r="455" spans="1:23" ht="12.75" customHeight="1" x14ac:dyDescent="0.2">
      <c r="A455" s="78"/>
      <c r="B455" s="498" t="s">
        <v>46</v>
      </c>
      <c r="C455" s="498"/>
      <c r="D455" s="498"/>
      <c r="E455" s="498"/>
      <c r="F455" s="498"/>
      <c r="G455" s="498"/>
      <c r="H455" s="498"/>
      <c r="I455" s="498"/>
      <c r="J455" s="498"/>
      <c r="K455" s="498"/>
      <c r="L455" s="499"/>
      <c r="M455" s="242">
        <v>10</v>
      </c>
      <c r="N455" s="242">
        <v>3</v>
      </c>
      <c r="O455" s="243" t="s">
        <v>475</v>
      </c>
      <c r="P455" s="244" t="s">
        <v>43</v>
      </c>
      <c r="Q455" s="500"/>
      <c r="R455" s="501"/>
      <c r="S455" s="245">
        <v>1793</v>
      </c>
      <c r="T455" s="246">
        <v>0</v>
      </c>
      <c r="U455" s="164">
        <v>1793</v>
      </c>
      <c r="V455" s="273">
        <f>+V456</f>
        <v>0</v>
      </c>
      <c r="W455" s="273">
        <f t="shared" si="11"/>
        <v>0</v>
      </c>
    </row>
    <row r="456" spans="1:23" ht="21.75" customHeight="1" x14ac:dyDescent="0.2">
      <c r="A456" s="78"/>
      <c r="B456" s="498" t="s">
        <v>492</v>
      </c>
      <c r="C456" s="498"/>
      <c r="D456" s="498"/>
      <c r="E456" s="498"/>
      <c r="F456" s="498"/>
      <c r="G456" s="498"/>
      <c r="H456" s="498"/>
      <c r="I456" s="498"/>
      <c r="J456" s="498"/>
      <c r="K456" s="498"/>
      <c r="L456" s="499"/>
      <c r="M456" s="242">
        <v>10</v>
      </c>
      <c r="N456" s="242">
        <v>3</v>
      </c>
      <c r="O456" s="243" t="s">
        <v>475</v>
      </c>
      <c r="P456" s="244" t="s">
        <v>493</v>
      </c>
      <c r="Q456" s="500"/>
      <c r="R456" s="501"/>
      <c r="S456" s="245">
        <v>1793</v>
      </c>
      <c r="T456" s="246">
        <v>0</v>
      </c>
      <c r="U456" s="164">
        <v>1793</v>
      </c>
      <c r="V456" s="273">
        <f>+V457</f>
        <v>0</v>
      </c>
      <c r="W456" s="273">
        <f t="shared" si="11"/>
        <v>0</v>
      </c>
    </row>
    <row r="457" spans="1:23" ht="21.75" customHeight="1" x14ac:dyDescent="0.2">
      <c r="A457" s="78"/>
      <c r="B457" s="498" t="s">
        <v>569</v>
      </c>
      <c r="C457" s="498"/>
      <c r="D457" s="498"/>
      <c r="E457" s="498"/>
      <c r="F457" s="498"/>
      <c r="G457" s="498"/>
      <c r="H457" s="498"/>
      <c r="I457" s="498"/>
      <c r="J457" s="498"/>
      <c r="K457" s="498"/>
      <c r="L457" s="499"/>
      <c r="M457" s="242">
        <v>10</v>
      </c>
      <c r="N457" s="242">
        <v>3</v>
      </c>
      <c r="O457" s="243" t="s">
        <v>475</v>
      </c>
      <c r="P457" s="244" t="s">
        <v>570</v>
      </c>
      <c r="Q457" s="500"/>
      <c r="R457" s="501"/>
      <c r="S457" s="245">
        <v>1793</v>
      </c>
      <c r="T457" s="246">
        <v>0</v>
      </c>
      <c r="U457" s="164">
        <v>1793</v>
      </c>
      <c r="V457" s="273"/>
      <c r="W457" s="273">
        <f t="shared" si="11"/>
        <v>0</v>
      </c>
    </row>
    <row r="458" spans="1:23" ht="21.75" customHeight="1" x14ac:dyDescent="0.2">
      <c r="A458" s="78"/>
      <c r="B458" s="498" t="s">
        <v>155</v>
      </c>
      <c r="C458" s="498"/>
      <c r="D458" s="498"/>
      <c r="E458" s="498"/>
      <c r="F458" s="498"/>
      <c r="G458" s="498"/>
      <c r="H458" s="498"/>
      <c r="I458" s="498"/>
      <c r="J458" s="498"/>
      <c r="K458" s="498"/>
      <c r="L458" s="499"/>
      <c r="M458" s="242">
        <v>10</v>
      </c>
      <c r="N458" s="242">
        <v>3</v>
      </c>
      <c r="O458" s="243" t="s">
        <v>473</v>
      </c>
      <c r="P458" s="244">
        <v>0</v>
      </c>
      <c r="Q458" s="500"/>
      <c r="R458" s="501"/>
      <c r="S458" s="245">
        <v>4407.8999999999996</v>
      </c>
      <c r="T458" s="246">
        <v>0</v>
      </c>
      <c r="U458" s="164">
        <v>4407.8999999999996</v>
      </c>
      <c r="V458" s="273">
        <f>+V459</f>
        <v>1081.8710000000001</v>
      </c>
      <c r="W458" s="273">
        <f t="shared" si="11"/>
        <v>24.543909798316662</v>
      </c>
    </row>
    <row r="459" spans="1:23" ht="21.75" customHeight="1" x14ac:dyDescent="0.2">
      <c r="A459" s="78"/>
      <c r="B459" s="498" t="s">
        <v>42</v>
      </c>
      <c r="C459" s="498"/>
      <c r="D459" s="498"/>
      <c r="E459" s="498"/>
      <c r="F459" s="498"/>
      <c r="G459" s="498"/>
      <c r="H459" s="498"/>
      <c r="I459" s="498"/>
      <c r="J459" s="498"/>
      <c r="K459" s="498"/>
      <c r="L459" s="499"/>
      <c r="M459" s="242">
        <v>10</v>
      </c>
      <c r="N459" s="242">
        <v>3</v>
      </c>
      <c r="O459" s="243" t="s">
        <v>474</v>
      </c>
      <c r="P459" s="244">
        <v>0</v>
      </c>
      <c r="Q459" s="500"/>
      <c r="R459" s="501"/>
      <c r="S459" s="245">
        <v>4407.8999999999996</v>
      </c>
      <c r="T459" s="246">
        <v>0</v>
      </c>
      <c r="U459" s="164">
        <v>4407.8999999999996</v>
      </c>
      <c r="V459" s="273">
        <f>+V460</f>
        <v>1081.8710000000001</v>
      </c>
      <c r="W459" s="273">
        <f t="shared" si="11"/>
        <v>24.543909798316662</v>
      </c>
    </row>
    <row r="460" spans="1:23" ht="21.75" customHeight="1" x14ac:dyDescent="0.2">
      <c r="A460" s="78"/>
      <c r="B460" s="498" t="s">
        <v>45</v>
      </c>
      <c r="C460" s="498"/>
      <c r="D460" s="498"/>
      <c r="E460" s="498"/>
      <c r="F460" s="498"/>
      <c r="G460" s="498"/>
      <c r="H460" s="498"/>
      <c r="I460" s="498"/>
      <c r="J460" s="498"/>
      <c r="K460" s="498"/>
      <c r="L460" s="499"/>
      <c r="M460" s="242">
        <v>10</v>
      </c>
      <c r="N460" s="242">
        <v>3</v>
      </c>
      <c r="O460" s="243" t="s">
        <v>477</v>
      </c>
      <c r="P460" s="244">
        <v>0</v>
      </c>
      <c r="Q460" s="500"/>
      <c r="R460" s="501"/>
      <c r="S460" s="245">
        <v>4407.8999999999996</v>
      </c>
      <c r="T460" s="246">
        <v>0</v>
      </c>
      <c r="U460" s="164">
        <v>4407.8999999999996</v>
      </c>
      <c r="V460" s="273">
        <f>+V461+V464</f>
        <v>1081.8710000000001</v>
      </c>
      <c r="W460" s="273">
        <f t="shared" si="11"/>
        <v>24.543909798316662</v>
      </c>
    </row>
    <row r="461" spans="1:23" ht="21.75" customHeight="1" x14ac:dyDescent="0.2">
      <c r="A461" s="78"/>
      <c r="B461" s="498" t="s">
        <v>345</v>
      </c>
      <c r="C461" s="498"/>
      <c r="D461" s="498"/>
      <c r="E461" s="498"/>
      <c r="F461" s="498"/>
      <c r="G461" s="498"/>
      <c r="H461" s="498"/>
      <c r="I461" s="498"/>
      <c r="J461" s="498"/>
      <c r="K461" s="498"/>
      <c r="L461" s="499"/>
      <c r="M461" s="242">
        <v>10</v>
      </c>
      <c r="N461" s="242">
        <v>3</v>
      </c>
      <c r="O461" s="243" t="s">
        <v>477</v>
      </c>
      <c r="P461" s="244" t="s">
        <v>24</v>
      </c>
      <c r="Q461" s="500"/>
      <c r="R461" s="501"/>
      <c r="S461" s="245">
        <v>38.9</v>
      </c>
      <c r="T461" s="246">
        <v>0</v>
      </c>
      <c r="U461" s="164">
        <v>38.9</v>
      </c>
      <c r="V461" s="273">
        <f>+V462</f>
        <v>5.6790000000000003</v>
      </c>
      <c r="W461" s="273">
        <f t="shared" si="11"/>
        <v>14.598971722365039</v>
      </c>
    </row>
    <row r="462" spans="1:23" ht="21.75" customHeight="1" x14ac:dyDescent="0.2">
      <c r="A462" s="78"/>
      <c r="B462" s="498" t="s">
        <v>346</v>
      </c>
      <c r="C462" s="498"/>
      <c r="D462" s="498"/>
      <c r="E462" s="498"/>
      <c r="F462" s="498"/>
      <c r="G462" s="498"/>
      <c r="H462" s="498"/>
      <c r="I462" s="498"/>
      <c r="J462" s="498"/>
      <c r="K462" s="498"/>
      <c r="L462" s="499"/>
      <c r="M462" s="242">
        <v>10</v>
      </c>
      <c r="N462" s="242">
        <v>3</v>
      </c>
      <c r="O462" s="243" t="s">
        <v>477</v>
      </c>
      <c r="P462" s="244" t="s">
        <v>26</v>
      </c>
      <c r="Q462" s="500"/>
      <c r="R462" s="501"/>
      <c r="S462" s="245">
        <v>38.9</v>
      </c>
      <c r="T462" s="246">
        <v>0</v>
      </c>
      <c r="U462" s="164">
        <v>38.9</v>
      </c>
      <c r="V462" s="273">
        <f>+V463</f>
        <v>5.6790000000000003</v>
      </c>
      <c r="W462" s="273">
        <f t="shared" si="11"/>
        <v>14.598971722365039</v>
      </c>
    </row>
    <row r="463" spans="1:23" ht="12.75" customHeight="1" x14ac:dyDescent="0.2">
      <c r="A463" s="78"/>
      <c r="B463" s="498" t="s">
        <v>348</v>
      </c>
      <c r="C463" s="498"/>
      <c r="D463" s="498"/>
      <c r="E463" s="498"/>
      <c r="F463" s="498"/>
      <c r="G463" s="498"/>
      <c r="H463" s="498"/>
      <c r="I463" s="498"/>
      <c r="J463" s="498"/>
      <c r="K463" s="498"/>
      <c r="L463" s="499"/>
      <c r="M463" s="242">
        <v>10</v>
      </c>
      <c r="N463" s="242">
        <v>3</v>
      </c>
      <c r="O463" s="243" t="s">
        <v>477</v>
      </c>
      <c r="P463" s="244" t="s">
        <v>28</v>
      </c>
      <c r="Q463" s="500"/>
      <c r="R463" s="501"/>
      <c r="S463" s="245">
        <v>38.9</v>
      </c>
      <c r="T463" s="246">
        <v>0</v>
      </c>
      <c r="U463" s="164">
        <v>38.9</v>
      </c>
      <c r="V463" s="273">
        <f>+'11'!AG119</f>
        <v>5.6790000000000003</v>
      </c>
      <c r="W463" s="273">
        <f t="shared" si="11"/>
        <v>14.598971722365039</v>
      </c>
    </row>
    <row r="464" spans="1:23" ht="12.75" customHeight="1" x14ac:dyDescent="0.2">
      <c r="A464" s="78"/>
      <c r="B464" s="498" t="s">
        <v>46</v>
      </c>
      <c r="C464" s="498"/>
      <c r="D464" s="498"/>
      <c r="E464" s="498"/>
      <c r="F464" s="498"/>
      <c r="G464" s="498"/>
      <c r="H464" s="498"/>
      <c r="I464" s="498"/>
      <c r="J464" s="498"/>
      <c r="K464" s="498"/>
      <c r="L464" s="499"/>
      <c r="M464" s="242">
        <v>10</v>
      </c>
      <c r="N464" s="242">
        <v>3</v>
      </c>
      <c r="O464" s="243" t="s">
        <v>477</v>
      </c>
      <c r="P464" s="244" t="s">
        <v>43</v>
      </c>
      <c r="Q464" s="500"/>
      <c r="R464" s="501"/>
      <c r="S464" s="245">
        <v>4369</v>
      </c>
      <c r="T464" s="246">
        <v>0</v>
      </c>
      <c r="U464" s="164">
        <v>4369</v>
      </c>
      <c r="V464" s="273">
        <f>+V465</f>
        <v>1076.192</v>
      </c>
      <c r="W464" s="273">
        <f t="shared" si="11"/>
        <v>24.632455939574275</v>
      </c>
    </row>
    <row r="465" spans="1:23" ht="12.75" customHeight="1" x14ac:dyDescent="0.2">
      <c r="A465" s="78"/>
      <c r="B465" s="498" t="s">
        <v>47</v>
      </c>
      <c r="C465" s="498"/>
      <c r="D465" s="498"/>
      <c r="E465" s="498"/>
      <c r="F465" s="498"/>
      <c r="G465" s="498"/>
      <c r="H465" s="498"/>
      <c r="I465" s="498"/>
      <c r="J465" s="498"/>
      <c r="K465" s="498"/>
      <c r="L465" s="499"/>
      <c r="M465" s="242">
        <v>10</v>
      </c>
      <c r="N465" s="242">
        <v>3</v>
      </c>
      <c r="O465" s="243" t="s">
        <v>477</v>
      </c>
      <c r="P465" s="244" t="s">
        <v>44</v>
      </c>
      <c r="Q465" s="500"/>
      <c r="R465" s="501"/>
      <c r="S465" s="245">
        <v>4369</v>
      </c>
      <c r="T465" s="246">
        <v>0</v>
      </c>
      <c r="U465" s="164">
        <v>4369</v>
      </c>
      <c r="V465" s="273">
        <f>+V466</f>
        <v>1076.192</v>
      </c>
      <c r="W465" s="273">
        <f t="shared" si="11"/>
        <v>24.632455939574275</v>
      </c>
    </row>
    <row r="466" spans="1:23" ht="21.75" customHeight="1" x14ac:dyDescent="0.2">
      <c r="A466" s="78"/>
      <c r="B466" s="498" t="s">
        <v>476</v>
      </c>
      <c r="C466" s="498"/>
      <c r="D466" s="498"/>
      <c r="E466" s="498"/>
      <c r="F466" s="498"/>
      <c r="G466" s="498"/>
      <c r="H466" s="498"/>
      <c r="I466" s="498"/>
      <c r="J466" s="498"/>
      <c r="K466" s="498"/>
      <c r="L466" s="499"/>
      <c r="M466" s="242">
        <v>10</v>
      </c>
      <c r="N466" s="242">
        <v>3</v>
      </c>
      <c r="O466" s="243" t="s">
        <v>477</v>
      </c>
      <c r="P466" s="244" t="s">
        <v>48</v>
      </c>
      <c r="Q466" s="500"/>
      <c r="R466" s="501"/>
      <c r="S466" s="245">
        <v>4369</v>
      </c>
      <c r="T466" s="246">
        <v>0</v>
      </c>
      <c r="U466" s="164">
        <v>4369</v>
      </c>
      <c r="V466" s="273">
        <f>+'11'!AG122</f>
        <v>1076.192</v>
      </c>
      <c r="W466" s="273">
        <f t="shared" si="11"/>
        <v>24.632455939574275</v>
      </c>
    </row>
    <row r="467" spans="1:23" ht="21.75" customHeight="1" x14ac:dyDescent="0.2">
      <c r="A467" s="78"/>
      <c r="B467" s="498" t="s">
        <v>155</v>
      </c>
      <c r="C467" s="498"/>
      <c r="D467" s="498"/>
      <c r="E467" s="498"/>
      <c r="F467" s="498"/>
      <c r="G467" s="498"/>
      <c r="H467" s="498"/>
      <c r="I467" s="498"/>
      <c r="J467" s="498"/>
      <c r="K467" s="498"/>
      <c r="L467" s="499"/>
      <c r="M467" s="242">
        <v>10</v>
      </c>
      <c r="N467" s="242">
        <v>3</v>
      </c>
      <c r="O467" s="243" t="s">
        <v>473</v>
      </c>
      <c r="P467" s="244">
        <v>0</v>
      </c>
      <c r="Q467" s="500"/>
      <c r="R467" s="501"/>
      <c r="S467" s="245">
        <v>74.5</v>
      </c>
      <c r="T467" s="246">
        <v>0</v>
      </c>
      <c r="U467" s="164">
        <v>74.5</v>
      </c>
      <c r="V467" s="273">
        <f>+V468</f>
        <v>0</v>
      </c>
      <c r="W467" s="273">
        <f t="shared" ref="W467:W530" si="13">V467/U467*100</f>
        <v>0</v>
      </c>
    </row>
    <row r="468" spans="1:23" ht="21.75" customHeight="1" x14ac:dyDescent="0.2">
      <c r="A468" s="78"/>
      <c r="B468" s="498" t="s">
        <v>42</v>
      </c>
      <c r="C468" s="498"/>
      <c r="D468" s="498"/>
      <c r="E468" s="498"/>
      <c r="F468" s="498"/>
      <c r="G468" s="498"/>
      <c r="H468" s="498"/>
      <c r="I468" s="498"/>
      <c r="J468" s="498"/>
      <c r="K468" s="498"/>
      <c r="L468" s="499"/>
      <c r="M468" s="242">
        <v>10</v>
      </c>
      <c r="N468" s="242">
        <v>3</v>
      </c>
      <c r="O468" s="243" t="s">
        <v>474</v>
      </c>
      <c r="P468" s="244">
        <v>0</v>
      </c>
      <c r="Q468" s="500"/>
      <c r="R468" s="501"/>
      <c r="S468" s="245">
        <v>74.5</v>
      </c>
      <c r="T468" s="246">
        <v>0</v>
      </c>
      <c r="U468" s="164">
        <v>74.5</v>
      </c>
      <c r="V468" s="273">
        <f>+V469</f>
        <v>0</v>
      </c>
      <c r="W468" s="273">
        <f t="shared" si="13"/>
        <v>0</v>
      </c>
    </row>
    <row r="469" spans="1:23" ht="53.25" customHeight="1" x14ac:dyDescent="0.2">
      <c r="A469" s="78"/>
      <c r="B469" s="498" t="s">
        <v>49</v>
      </c>
      <c r="C469" s="498"/>
      <c r="D469" s="498"/>
      <c r="E469" s="498"/>
      <c r="F469" s="498"/>
      <c r="G469" s="498"/>
      <c r="H469" s="498"/>
      <c r="I469" s="498"/>
      <c r="J469" s="498"/>
      <c r="K469" s="498"/>
      <c r="L469" s="499"/>
      <c r="M469" s="242">
        <v>10</v>
      </c>
      <c r="N469" s="242">
        <v>3</v>
      </c>
      <c r="O469" s="243" t="s">
        <v>478</v>
      </c>
      <c r="P469" s="244">
        <v>0</v>
      </c>
      <c r="Q469" s="500"/>
      <c r="R469" s="501"/>
      <c r="S469" s="245">
        <v>74.5</v>
      </c>
      <c r="T469" s="246">
        <v>0</v>
      </c>
      <c r="U469" s="164">
        <v>74.5</v>
      </c>
      <c r="V469" s="273">
        <f>+V470</f>
        <v>0</v>
      </c>
      <c r="W469" s="273">
        <f t="shared" si="13"/>
        <v>0</v>
      </c>
    </row>
    <row r="470" spans="1:23" ht="12.75" customHeight="1" x14ac:dyDescent="0.2">
      <c r="A470" s="78"/>
      <c r="B470" s="498" t="s">
        <v>46</v>
      </c>
      <c r="C470" s="498"/>
      <c r="D470" s="498"/>
      <c r="E470" s="498"/>
      <c r="F470" s="498"/>
      <c r="G470" s="498"/>
      <c r="H470" s="498"/>
      <c r="I470" s="498"/>
      <c r="J470" s="498"/>
      <c r="K470" s="498"/>
      <c r="L470" s="499"/>
      <c r="M470" s="242">
        <v>10</v>
      </c>
      <c r="N470" s="242">
        <v>3</v>
      </c>
      <c r="O470" s="243" t="s">
        <v>478</v>
      </c>
      <c r="P470" s="244" t="s">
        <v>43</v>
      </c>
      <c r="Q470" s="500"/>
      <c r="R470" s="501"/>
      <c r="S470" s="245">
        <v>74.5</v>
      </c>
      <c r="T470" s="246">
        <v>0</v>
      </c>
      <c r="U470" s="164">
        <v>74.5</v>
      </c>
      <c r="V470" s="273">
        <f>+V471</f>
        <v>0</v>
      </c>
      <c r="W470" s="273">
        <f t="shared" si="13"/>
        <v>0</v>
      </c>
    </row>
    <row r="471" spans="1:23" ht="12.75" customHeight="1" x14ac:dyDescent="0.2">
      <c r="A471" s="78"/>
      <c r="B471" s="498" t="s">
        <v>47</v>
      </c>
      <c r="C471" s="498"/>
      <c r="D471" s="498"/>
      <c r="E471" s="498"/>
      <c r="F471" s="498"/>
      <c r="G471" s="498"/>
      <c r="H471" s="498"/>
      <c r="I471" s="498"/>
      <c r="J471" s="498"/>
      <c r="K471" s="498"/>
      <c r="L471" s="499"/>
      <c r="M471" s="242">
        <v>10</v>
      </c>
      <c r="N471" s="242">
        <v>3</v>
      </c>
      <c r="O471" s="243" t="s">
        <v>478</v>
      </c>
      <c r="P471" s="244" t="s">
        <v>44</v>
      </c>
      <c r="Q471" s="500"/>
      <c r="R471" s="501"/>
      <c r="S471" s="245">
        <v>74.5</v>
      </c>
      <c r="T471" s="246">
        <v>0</v>
      </c>
      <c r="U471" s="164">
        <v>74.5</v>
      </c>
      <c r="V471" s="273">
        <f>+V472</f>
        <v>0</v>
      </c>
      <c r="W471" s="273">
        <f t="shared" si="13"/>
        <v>0</v>
      </c>
    </row>
    <row r="472" spans="1:23" ht="21.75" customHeight="1" x14ac:dyDescent="0.2">
      <c r="A472" s="78"/>
      <c r="B472" s="498" t="s">
        <v>476</v>
      </c>
      <c r="C472" s="498"/>
      <c r="D472" s="498"/>
      <c r="E472" s="498"/>
      <c r="F472" s="498"/>
      <c r="G472" s="498"/>
      <c r="H472" s="498"/>
      <c r="I472" s="498"/>
      <c r="J472" s="498"/>
      <c r="K472" s="498"/>
      <c r="L472" s="499"/>
      <c r="M472" s="242">
        <v>10</v>
      </c>
      <c r="N472" s="242">
        <v>3</v>
      </c>
      <c r="O472" s="243" t="s">
        <v>478</v>
      </c>
      <c r="P472" s="244" t="s">
        <v>48</v>
      </c>
      <c r="Q472" s="500"/>
      <c r="R472" s="501"/>
      <c r="S472" s="245">
        <v>74.5</v>
      </c>
      <c r="T472" s="246">
        <v>0</v>
      </c>
      <c r="U472" s="164">
        <v>74.5</v>
      </c>
      <c r="V472" s="273"/>
      <c r="W472" s="273">
        <f t="shared" si="13"/>
        <v>0</v>
      </c>
    </row>
    <row r="473" spans="1:23" ht="21.75" customHeight="1" x14ac:dyDescent="0.2">
      <c r="A473" s="78"/>
      <c r="B473" s="498" t="s">
        <v>155</v>
      </c>
      <c r="C473" s="498"/>
      <c r="D473" s="498"/>
      <c r="E473" s="498"/>
      <c r="F473" s="498"/>
      <c r="G473" s="498"/>
      <c r="H473" s="498"/>
      <c r="I473" s="498"/>
      <c r="J473" s="498"/>
      <c r="K473" s="498"/>
      <c r="L473" s="499"/>
      <c r="M473" s="242">
        <v>10</v>
      </c>
      <c r="N473" s="242">
        <v>3</v>
      </c>
      <c r="O473" s="243" t="s">
        <v>473</v>
      </c>
      <c r="P473" s="244">
        <v>0</v>
      </c>
      <c r="Q473" s="500"/>
      <c r="R473" s="501"/>
      <c r="S473" s="245">
        <v>106</v>
      </c>
      <c r="T473" s="246">
        <v>0</v>
      </c>
      <c r="U473" s="164">
        <v>106</v>
      </c>
      <c r="V473" s="273">
        <f>+V474</f>
        <v>16.763819999999999</v>
      </c>
      <c r="W473" s="273">
        <f t="shared" si="13"/>
        <v>15.814924528301885</v>
      </c>
    </row>
    <row r="474" spans="1:23" ht="21.75" customHeight="1" x14ac:dyDescent="0.2">
      <c r="A474" s="78"/>
      <c r="B474" s="498" t="s">
        <v>42</v>
      </c>
      <c r="C474" s="498"/>
      <c r="D474" s="498"/>
      <c r="E474" s="498"/>
      <c r="F474" s="498"/>
      <c r="G474" s="498"/>
      <c r="H474" s="498"/>
      <c r="I474" s="498"/>
      <c r="J474" s="498"/>
      <c r="K474" s="498"/>
      <c r="L474" s="499"/>
      <c r="M474" s="242">
        <v>10</v>
      </c>
      <c r="N474" s="242">
        <v>3</v>
      </c>
      <c r="O474" s="243" t="s">
        <v>474</v>
      </c>
      <c r="P474" s="244">
        <v>0</v>
      </c>
      <c r="Q474" s="500"/>
      <c r="R474" s="501"/>
      <c r="S474" s="245">
        <v>106</v>
      </c>
      <c r="T474" s="246">
        <v>0</v>
      </c>
      <c r="U474" s="164">
        <v>106</v>
      </c>
      <c r="V474" s="273">
        <f>+V475</f>
        <v>16.763819999999999</v>
      </c>
      <c r="W474" s="273">
        <f t="shared" si="13"/>
        <v>15.814924528301885</v>
      </c>
    </row>
    <row r="475" spans="1:23" ht="21.75" customHeight="1" x14ac:dyDescent="0.2">
      <c r="A475" s="78"/>
      <c r="B475" s="498" t="s">
        <v>50</v>
      </c>
      <c r="C475" s="498"/>
      <c r="D475" s="498"/>
      <c r="E475" s="498"/>
      <c r="F475" s="498"/>
      <c r="G475" s="498"/>
      <c r="H475" s="498"/>
      <c r="I475" s="498"/>
      <c r="J475" s="498"/>
      <c r="K475" s="498"/>
      <c r="L475" s="499"/>
      <c r="M475" s="242">
        <v>10</v>
      </c>
      <c r="N475" s="242">
        <v>3</v>
      </c>
      <c r="O475" s="243" t="s">
        <v>479</v>
      </c>
      <c r="P475" s="244">
        <v>0</v>
      </c>
      <c r="Q475" s="500"/>
      <c r="R475" s="501"/>
      <c r="S475" s="245">
        <v>106</v>
      </c>
      <c r="T475" s="246">
        <v>0</v>
      </c>
      <c r="U475" s="164">
        <v>106</v>
      </c>
      <c r="V475" s="273">
        <f>+V476</f>
        <v>16.763819999999999</v>
      </c>
      <c r="W475" s="273">
        <f t="shared" si="13"/>
        <v>15.814924528301885</v>
      </c>
    </row>
    <row r="476" spans="1:23" ht="12.75" customHeight="1" x14ac:dyDescent="0.2">
      <c r="A476" s="78"/>
      <c r="B476" s="498" t="s">
        <v>46</v>
      </c>
      <c r="C476" s="498"/>
      <c r="D476" s="498"/>
      <c r="E476" s="498"/>
      <c r="F476" s="498"/>
      <c r="G476" s="498"/>
      <c r="H476" s="498"/>
      <c r="I476" s="498"/>
      <c r="J476" s="498"/>
      <c r="K476" s="498"/>
      <c r="L476" s="499"/>
      <c r="M476" s="242">
        <v>10</v>
      </c>
      <c r="N476" s="242">
        <v>3</v>
      </c>
      <c r="O476" s="243" t="s">
        <v>479</v>
      </c>
      <c r="P476" s="244" t="s">
        <v>43</v>
      </c>
      <c r="Q476" s="500"/>
      <c r="R476" s="501"/>
      <c r="S476" s="245">
        <v>106</v>
      </c>
      <c r="T476" s="246">
        <v>0</v>
      </c>
      <c r="U476" s="164">
        <v>106</v>
      </c>
      <c r="V476" s="273">
        <f>+V477</f>
        <v>16.763819999999999</v>
      </c>
      <c r="W476" s="273">
        <f t="shared" si="13"/>
        <v>15.814924528301885</v>
      </c>
    </row>
    <row r="477" spans="1:23" ht="12.75" customHeight="1" x14ac:dyDescent="0.2">
      <c r="A477" s="78"/>
      <c r="B477" s="498" t="s">
        <v>47</v>
      </c>
      <c r="C477" s="498"/>
      <c r="D477" s="498"/>
      <c r="E477" s="498"/>
      <c r="F477" s="498"/>
      <c r="G477" s="498"/>
      <c r="H477" s="498"/>
      <c r="I477" s="498"/>
      <c r="J477" s="498"/>
      <c r="K477" s="498"/>
      <c r="L477" s="499"/>
      <c r="M477" s="242">
        <v>10</v>
      </c>
      <c r="N477" s="242">
        <v>3</v>
      </c>
      <c r="O477" s="243" t="s">
        <v>479</v>
      </c>
      <c r="P477" s="244" t="s">
        <v>44</v>
      </c>
      <c r="Q477" s="500"/>
      <c r="R477" s="501"/>
      <c r="S477" s="245">
        <v>106</v>
      </c>
      <c r="T477" s="246">
        <v>0</v>
      </c>
      <c r="U477" s="164">
        <v>106</v>
      </c>
      <c r="V477" s="273">
        <f>+V478</f>
        <v>16.763819999999999</v>
      </c>
      <c r="W477" s="273">
        <f t="shared" si="13"/>
        <v>15.814924528301885</v>
      </c>
    </row>
    <row r="478" spans="1:23" ht="21.75" customHeight="1" x14ac:dyDescent="0.2">
      <c r="A478" s="78"/>
      <c r="B478" s="498" t="s">
        <v>476</v>
      </c>
      <c r="C478" s="498"/>
      <c r="D478" s="498"/>
      <c r="E478" s="498"/>
      <c r="F478" s="498"/>
      <c r="G478" s="498"/>
      <c r="H478" s="498"/>
      <c r="I478" s="498"/>
      <c r="J478" s="498"/>
      <c r="K478" s="498"/>
      <c r="L478" s="499"/>
      <c r="M478" s="242">
        <v>10</v>
      </c>
      <c r="N478" s="242">
        <v>3</v>
      </c>
      <c r="O478" s="243" t="s">
        <v>479</v>
      </c>
      <c r="P478" s="244" t="s">
        <v>48</v>
      </c>
      <c r="Q478" s="500"/>
      <c r="R478" s="501"/>
      <c r="S478" s="245">
        <v>106</v>
      </c>
      <c r="T478" s="246">
        <v>0</v>
      </c>
      <c r="U478" s="164">
        <v>106</v>
      </c>
      <c r="V478" s="273">
        <f>+'11'!AG134</f>
        <v>16.763819999999999</v>
      </c>
      <c r="W478" s="273">
        <f t="shared" si="13"/>
        <v>15.814924528301885</v>
      </c>
    </row>
    <row r="479" spans="1:23" ht="21.75" customHeight="1" x14ac:dyDescent="0.2">
      <c r="A479" s="78"/>
      <c r="B479" s="498" t="s">
        <v>155</v>
      </c>
      <c r="C479" s="498"/>
      <c r="D479" s="498"/>
      <c r="E479" s="498"/>
      <c r="F479" s="498"/>
      <c r="G479" s="498"/>
      <c r="H479" s="498"/>
      <c r="I479" s="498"/>
      <c r="J479" s="498"/>
      <c r="K479" s="498"/>
      <c r="L479" s="499"/>
      <c r="M479" s="242">
        <v>10</v>
      </c>
      <c r="N479" s="242">
        <v>3</v>
      </c>
      <c r="O479" s="243" t="s">
        <v>473</v>
      </c>
      <c r="P479" s="244">
        <v>0</v>
      </c>
      <c r="Q479" s="500"/>
      <c r="R479" s="501"/>
      <c r="S479" s="245">
        <v>175</v>
      </c>
      <c r="T479" s="246">
        <v>0</v>
      </c>
      <c r="U479" s="164">
        <v>175</v>
      </c>
      <c r="V479" s="273">
        <f>+V480</f>
        <v>33</v>
      </c>
      <c r="W479" s="273">
        <f t="shared" si="13"/>
        <v>18.857142857142858</v>
      </c>
    </row>
    <row r="480" spans="1:23" ht="21.75" customHeight="1" x14ac:dyDescent="0.2">
      <c r="A480" s="78"/>
      <c r="B480" s="498" t="s">
        <v>42</v>
      </c>
      <c r="C480" s="498"/>
      <c r="D480" s="498"/>
      <c r="E480" s="498"/>
      <c r="F480" s="498"/>
      <c r="G480" s="498"/>
      <c r="H480" s="498"/>
      <c r="I480" s="498"/>
      <c r="J480" s="498"/>
      <c r="K480" s="498"/>
      <c r="L480" s="499"/>
      <c r="M480" s="242">
        <v>10</v>
      </c>
      <c r="N480" s="242">
        <v>3</v>
      </c>
      <c r="O480" s="243" t="s">
        <v>474</v>
      </c>
      <c r="P480" s="244">
        <v>0</v>
      </c>
      <c r="Q480" s="500"/>
      <c r="R480" s="501"/>
      <c r="S480" s="245">
        <v>175</v>
      </c>
      <c r="T480" s="246">
        <v>0</v>
      </c>
      <c r="U480" s="164">
        <v>175</v>
      </c>
      <c r="V480" s="273">
        <f>+V481</f>
        <v>33</v>
      </c>
      <c r="W480" s="273">
        <f t="shared" si="13"/>
        <v>18.857142857142858</v>
      </c>
    </row>
    <row r="481" spans="1:23" ht="21.75" customHeight="1" x14ac:dyDescent="0.2">
      <c r="A481" s="78"/>
      <c r="B481" s="498" t="s">
        <v>51</v>
      </c>
      <c r="C481" s="498"/>
      <c r="D481" s="498"/>
      <c r="E481" s="498"/>
      <c r="F481" s="498"/>
      <c r="G481" s="498"/>
      <c r="H481" s="498"/>
      <c r="I481" s="498"/>
      <c r="J481" s="498"/>
      <c r="K481" s="498"/>
      <c r="L481" s="499"/>
      <c r="M481" s="242">
        <v>10</v>
      </c>
      <c r="N481" s="242">
        <v>3</v>
      </c>
      <c r="O481" s="243" t="s">
        <v>480</v>
      </c>
      <c r="P481" s="244">
        <v>0</v>
      </c>
      <c r="Q481" s="500"/>
      <c r="R481" s="501"/>
      <c r="S481" s="245">
        <v>175</v>
      </c>
      <c r="T481" s="246">
        <v>0</v>
      </c>
      <c r="U481" s="164">
        <v>175</v>
      </c>
      <c r="V481" s="273">
        <f>+V482</f>
        <v>33</v>
      </c>
      <c r="W481" s="273">
        <f t="shared" si="13"/>
        <v>18.857142857142858</v>
      </c>
    </row>
    <row r="482" spans="1:23" ht="21.75" customHeight="1" x14ac:dyDescent="0.2">
      <c r="A482" s="78"/>
      <c r="B482" s="498" t="s">
        <v>345</v>
      </c>
      <c r="C482" s="498"/>
      <c r="D482" s="498"/>
      <c r="E482" s="498"/>
      <c r="F482" s="498"/>
      <c r="G482" s="498"/>
      <c r="H482" s="498"/>
      <c r="I482" s="498"/>
      <c r="J482" s="498"/>
      <c r="K482" s="498"/>
      <c r="L482" s="499"/>
      <c r="M482" s="242">
        <v>10</v>
      </c>
      <c r="N482" s="242">
        <v>3</v>
      </c>
      <c r="O482" s="243" t="s">
        <v>480</v>
      </c>
      <c r="P482" s="244" t="s">
        <v>24</v>
      </c>
      <c r="Q482" s="500"/>
      <c r="R482" s="501"/>
      <c r="S482" s="245">
        <v>175</v>
      </c>
      <c r="T482" s="246">
        <v>0</v>
      </c>
      <c r="U482" s="164">
        <v>175</v>
      </c>
      <c r="V482" s="273">
        <f>+V483</f>
        <v>33</v>
      </c>
      <c r="W482" s="273">
        <f t="shared" si="13"/>
        <v>18.857142857142858</v>
      </c>
    </row>
    <row r="483" spans="1:23" ht="21.75" customHeight="1" x14ac:dyDescent="0.2">
      <c r="A483" s="78"/>
      <c r="B483" s="498" t="s">
        <v>346</v>
      </c>
      <c r="C483" s="498"/>
      <c r="D483" s="498"/>
      <c r="E483" s="498"/>
      <c r="F483" s="498"/>
      <c r="G483" s="498"/>
      <c r="H483" s="498"/>
      <c r="I483" s="498"/>
      <c r="J483" s="498"/>
      <c r="K483" s="498"/>
      <c r="L483" s="499"/>
      <c r="M483" s="242">
        <v>10</v>
      </c>
      <c r="N483" s="242">
        <v>3</v>
      </c>
      <c r="O483" s="243" t="s">
        <v>480</v>
      </c>
      <c r="P483" s="244" t="s">
        <v>26</v>
      </c>
      <c r="Q483" s="500"/>
      <c r="R483" s="501"/>
      <c r="S483" s="245">
        <v>175</v>
      </c>
      <c r="T483" s="246">
        <v>0</v>
      </c>
      <c r="U483" s="164">
        <v>175</v>
      </c>
      <c r="V483" s="273">
        <f>+V484</f>
        <v>33</v>
      </c>
      <c r="W483" s="273">
        <f t="shared" si="13"/>
        <v>18.857142857142858</v>
      </c>
    </row>
    <row r="484" spans="1:23" ht="12.75" customHeight="1" x14ac:dyDescent="0.2">
      <c r="A484" s="78"/>
      <c r="B484" s="498" t="s">
        <v>348</v>
      </c>
      <c r="C484" s="498"/>
      <c r="D484" s="498"/>
      <c r="E484" s="498"/>
      <c r="F484" s="498"/>
      <c r="G484" s="498"/>
      <c r="H484" s="498"/>
      <c r="I484" s="498"/>
      <c r="J484" s="498"/>
      <c r="K484" s="498"/>
      <c r="L484" s="499"/>
      <c r="M484" s="242">
        <v>10</v>
      </c>
      <c r="N484" s="242">
        <v>3</v>
      </c>
      <c r="O484" s="243" t="s">
        <v>480</v>
      </c>
      <c r="P484" s="244" t="s">
        <v>28</v>
      </c>
      <c r="Q484" s="500"/>
      <c r="R484" s="501"/>
      <c r="S484" s="245">
        <v>175</v>
      </c>
      <c r="T484" s="246">
        <v>0</v>
      </c>
      <c r="U484" s="164">
        <v>175</v>
      </c>
      <c r="V484" s="273">
        <f>+'11'!AG140</f>
        <v>33</v>
      </c>
      <c r="W484" s="273">
        <f t="shared" si="13"/>
        <v>18.857142857142858</v>
      </c>
    </row>
    <row r="485" spans="1:23" ht="21.75" customHeight="1" x14ac:dyDescent="0.2">
      <c r="A485" s="78"/>
      <c r="B485" s="498" t="s">
        <v>155</v>
      </c>
      <c r="C485" s="498"/>
      <c r="D485" s="498"/>
      <c r="E485" s="498"/>
      <c r="F485" s="498"/>
      <c r="G485" s="498"/>
      <c r="H485" s="498"/>
      <c r="I485" s="498"/>
      <c r="J485" s="498"/>
      <c r="K485" s="498"/>
      <c r="L485" s="499"/>
      <c r="M485" s="242">
        <v>10</v>
      </c>
      <c r="N485" s="242">
        <v>3</v>
      </c>
      <c r="O485" s="243" t="s">
        <v>473</v>
      </c>
      <c r="P485" s="244">
        <v>0</v>
      </c>
      <c r="Q485" s="500"/>
      <c r="R485" s="501"/>
      <c r="S485" s="245">
        <v>4386</v>
      </c>
      <c r="T485" s="246">
        <v>0</v>
      </c>
      <c r="U485" s="164">
        <v>4386</v>
      </c>
      <c r="V485" s="273">
        <f>+V486</f>
        <v>1127.2629999999999</v>
      </c>
      <c r="W485" s="273">
        <f t="shared" si="13"/>
        <v>25.701390788873685</v>
      </c>
    </row>
    <row r="486" spans="1:23" ht="12.75" customHeight="1" x14ac:dyDescent="0.2">
      <c r="A486" s="78"/>
      <c r="B486" s="498" t="s">
        <v>53</v>
      </c>
      <c r="C486" s="498"/>
      <c r="D486" s="498"/>
      <c r="E486" s="498"/>
      <c r="F486" s="498"/>
      <c r="G486" s="498"/>
      <c r="H486" s="498"/>
      <c r="I486" s="498"/>
      <c r="J486" s="498"/>
      <c r="K486" s="498"/>
      <c r="L486" s="499"/>
      <c r="M486" s="242">
        <v>10</v>
      </c>
      <c r="N486" s="242">
        <v>3</v>
      </c>
      <c r="O486" s="243" t="s">
        <v>481</v>
      </c>
      <c r="P486" s="244">
        <v>0</v>
      </c>
      <c r="Q486" s="500"/>
      <c r="R486" s="501"/>
      <c r="S486" s="245">
        <v>4386</v>
      </c>
      <c r="T486" s="246">
        <v>0</v>
      </c>
      <c r="U486" s="164">
        <v>4386</v>
      </c>
      <c r="V486" s="273">
        <f>+V487</f>
        <v>1127.2629999999999</v>
      </c>
      <c r="W486" s="273">
        <f t="shared" si="13"/>
        <v>25.701390788873685</v>
      </c>
    </row>
    <row r="487" spans="1:23" ht="12.75" customHeight="1" x14ac:dyDescent="0.2">
      <c r="A487" s="78"/>
      <c r="B487" s="498" t="s">
        <v>54</v>
      </c>
      <c r="C487" s="498"/>
      <c r="D487" s="498"/>
      <c r="E487" s="498"/>
      <c r="F487" s="498"/>
      <c r="G487" s="498"/>
      <c r="H487" s="498"/>
      <c r="I487" s="498"/>
      <c r="J487" s="498"/>
      <c r="K487" s="498"/>
      <c r="L487" s="499"/>
      <c r="M487" s="242">
        <v>10</v>
      </c>
      <c r="N487" s="242">
        <v>3</v>
      </c>
      <c r="O487" s="243" t="s">
        <v>482</v>
      </c>
      <c r="P487" s="244">
        <v>0</v>
      </c>
      <c r="Q487" s="500"/>
      <c r="R487" s="501"/>
      <c r="S487" s="245">
        <v>4386</v>
      </c>
      <c r="T487" s="246">
        <v>0</v>
      </c>
      <c r="U487" s="164">
        <v>4386</v>
      </c>
      <c r="V487" s="273">
        <f>+V488+V491</f>
        <v>1127.2629999999999</v>
      </c>
      <c r="W487" s="273">
        <f t="shared" si="13"/>
        <v>25.701390788873685</v>
      </c>
    </row>
    <row r="488" spans="1:23" ht="21.75" customHeight="1" x14ac:dyDescent="0.2">
      <c r="A488" s="78"/>
      <c r="B488" s="498" t="s">
        <v>345</v>
      </c>
      <c r="C488" s="498"/>
      <c r="D488" s="498"/>
      <c r="E488" s="498"/>
      <c r="F488" s="498"/>
      <c r="G488" s="498"/>
      <c r="H488" s="498"/>
      <c r="I488" s="498"/>
      <c r="J488" s="498"/>
      <c r="K488" s="498"/>
      <c r="L488" s="499"/>
      <c r="M488" s="242">
        <v>10</v>
      </c>
      <c r="N488" s="242">
        <v>3</v>
      </c>
      <c r="O488" s="243" t="s">
        <v>482</v>
      </c>
      <c r="P488" s="244" t="s">
        <v>24</v>
      </c>
      <c r="Q488" s="500"/>
      <c r="R488" s="501"/>
      <c r="S488" s="245">
        <v>3.8</v>
      </c>
      <c r="T488" s="246">
        <v>0</v>
      </c>
      <c r="U488" s="164">
        <v>3.8</v>
      </c>
      <c r="V488" s="273">
        <f>+V489</f>
        <v>0.223</v>
      </c>
      <c r="W488" s="273">
        <f t="shared" si="13"/>
        <v>5.8684210526315788</v>
      </c>
    </row>
    <row r="489" spans="1:23" ht="21.75" customHeight="1" x14ac:dyDescent="0.2">
      <c r="A489" s="78"/>
      <c r="B489" s="498" t="s">
        <v>346</v>
      </c>
      <c r="C489" s="498"/>
      <c r="D489" s="498"/>
      <c r="E489" s="498"/>
      <c r="F489" s="498"/>
      <c r="G489" s="498"/>
      <c r="H489" s="498"/>
      <c r="I489" s="498"/>
      <c r="J489" s="498"/>
      <c r="K489" s="498"/>
      <c r="L489" s="499"/>
      <c r="M489" s="242">
        <v>10</v>
      </c>
      <c r="N489" s="242">
        <v>3</v>
      </c>
      <c r="O489" s="243" t="s">
        <v>482</v>
      </c>
      <c r="P489" s="244" t="s">
        <v>26</v>
      </c>
      <c r="Q489" s="500"/>
      <c r="R489" s="501"/>
      <c r="S489" s="245">
        <v>3.8</v>
      </c>
      <c r="T489" s="246">
        <v>0</v>
      </c>
      <c r="U489" s="164">
        <v>3.8</v>
      </c>
      <c r="V489" s="273">
        <f>+V490</f>
        <v>0.223</v>
      </c>
      <c r="W489" s="273">
        <f t="shared" si="13"/>
        <v>5.8684210526315788</v>
      </c>
    </row>
    <row r="490" spans="1:23" ht="12.75" customHeight="1" x14ac:dyDescent="0.2">
      <c r="A490" s="78"/>
      <c r="B490" s="498" t="s">
        <v>348</v>
      </c>
      <c r="C490" s="498"/>
      <c r="D490" s="498"/>
      <c r="E490" s="498"/>
      <c r="F490" s="498"/>
      <c r="G490" s="498"/>
      <c r="H490" s="498"/>
      <c r="I490" s="498"/>
      <c r="J490" s="498"/>
      <c r="K490" s="498"/>
      <c r="L490" s="499"/>
      <c r="M490" s="242">
        <v>10</v>
      </c>
      <c r="N490" s="242">
        <v>3</v>
      </c>
      <c r="O490" s="243" t="s">
        <v>482</v>
      </c>
      <c r="P490" s="244" t="s">
        <v>28</v>
      </c>
      <c r="Q490" s="500"/>
      <c r="R490" s="501"/>
      <c r="S490" s="245">
        <v>3.8</v>
      </c>
      <c r="T490" s="246">
        <v>0</v>
      </c>
      <c r="U490" s="164">
        <v>3.8</v>
      </c>
      <c r="V490" s="273">
        <f>+'11'!AG146</f>
        <v>0.223</v>
      </c>
      <c r="W490" s="273">
        <f t="shared" si="13"/>
        <v>5.8684210526315788</v>
      </c>
    </row>
    <row r="491" spans="1:23" ht="12.75" customHeight="1" x14ac:dyDescent="0.2">
      <c r="A491" s="78"/>
      <c r="B491" s="498" t="s">
        <v>46</v>
      </c>
      <c r="C491" s="498"/>
      <c r="D491" s="498"/>
      <c r="E491" s="498"/>
      <c r="F491" s="498"/>
      <c r="G491" s="498"/>
      <c r="H491" s="498"/>
      <c r="I491" s="498"/>
      <c r="J491" s="498"/>
      <c r="K491" s="498"/>
      <c r="L491" s="499"/>
      <c r="M491" s="242">
        <v>10</v>
      </c>
      <c r="N491" s="242">
        <v>3</v>
      </c>
      <c r="O491" s="243" t="s">
        <v>482</v>
      </c>
      <c r="P491" s="244" t="s">
        <v>43</v>
      </c>
      <c r="Q491" s="500"/>
      <c r="R491" s="501"/>
      <c r="S491" s="245">
        <v>4382.2</v>
      </c>
      <c r="T491" s="246">
        <v>0</v>
      </c>
      <c r="U491" s="164">
        <v>4382.2</v>
      </c>
      <c r="V491" s="273">
        <f>+V492</f>
        <v>1127.04</v>
      </c>
      <c r="W491" s="273">
        <f t="shared" si="13"/>
        <v>25.718588836657386</v>
      </c>
    </row>
    <row r="492" spans="1:23" ht="12.75" customHeight="1" x14ac:dyDescent="0.2">
      <c r="A492" s="78"/>
      <c r="B492" s="498" t="s">
        <v>47</v>
      </c>
      <c r="C492" s="498"/>
      <c r="D492" s="498"/>
      <c r="E492" s="498"/>
      <c r="F492" s="498"/>
      <c r="G492" s="498"/>
      <c r="H492" s="498"/>
      <c r="I492" s="498"/>
      <c r="J492" s="498"/>
      <c r="K492" s="498"/>
      <c r="L492" s="499"/>
      <c r="M492" s="242">
        <v>10</v>
      </c>
      <c r="N492" s="242">
        <v>3</v>
      </c>
      <c r="O492" s="243" t="s">
        <v>482</v>
      </c>
      <c r="P492" s="244" t="s">
        <v>44</v>
      </c>
      <c r="Q492" s="500"/>
      <c r="R492" s="501"/>
      <c r="S492" s="245">
        <v>4382.2</v>
      </c>
      <c r="T492" s="246">
        <v>0</v>
      </c>
      <c r="U492" s="164">
        <v>4382.2</v>
      </c>
      <c r="V492" s="273">
        <f>+V493</f>
        <v>1127.04</v>
      </c>
      <c r="W492" s="273">
        <f t="shared" si="13"/>
        <v>25.718588836657386</v>
      </c>
    </row>
    <row r="493" spans="1:23" ht="21.75" customHeight="1" x14ac:dyDescent="0.2">
      <c r="A493" s="78"/>
      <c r="B493" s="498" t="s">
        <v>476</v>
      </c>
      <c r="C493" s="498"/>
      <c r="D493" s="498"/>
      <c r="E493" s="498"/>
      <c r="F493" s="498"/>
      <c r="G493" s="498"/>
      <c r="H493" s="498"/>
      <c r="I493" s="498"/>
      <c r="J493" s="498"/>
      <c r="K493" s="498"/>
      <c r="L493" s="499"/>
      <c r="M493" s="242">
        <v>10</v>
      </c>
      <c r="N493" s="242">
        <v>3</v>
      </c>
      <c r="O493" s="243" t="s">
        <v>482</v>
      </c>
      <c r="P493" s="244" t="s">
        <v>48</v>
      </c>
      <c r="Q493" s="500"/>
      <c r="R493" s="501"/>
      <c r="S493" s="245">
        <v>4382.2</v>
      </c>
      <c r="T493" s="246">
        <v>0</v>
      </c>
      <c r="U493" s="164">
        <v>4382.2</v>
      </c>
      <c r="V493" s="273">
        <f>+'11'!AG149</f>
        <v>1127.04</v>
      </c>
      <c r="W493" s="273">
        <f t="shared" si="13"/>
        <v>25.718588836657386</v>
      </c>
    </row>
    <row r="494" spans="1:23" ht="21.75" customHeight="1" x14ac:dyDescent="0.2">
      <c r="A494" s="78"/>
      <c r="B494" s="498" t="s">
        <v>155</v>
      </c>
      <c r="C494" s="498"/>
      <c r="D494" s="498"/>
      <c r="E494" s="498"/>
      <c r="F494" s="498"/>
      <c r="G494" s="498"/>
      <c r="H494" s="498"/>
      <c r="I494" s="498"/>
      <c r="J494" s="498"/>
      <c r="K494" s="498"/>
      <c r="L494" s="499"/>
      <c r="M494" s="242">
        <v>10</v>
      </c>
      <c r="N494" s="242">
        <v>3</v>
      </c>
      <c r="O494" s="243" t="s">
        <v>473</v>
      </c>
      <c r="P494" s="244">
        <v>0</v>
      </c>
      <c r="Q494" s="500"/>
      <c r="R494" s="501"/>
      <c r="S494" s="245">
        <v>3055</v>
      </c>
      <c r="T494" s="246">
        <v>0</v>
      </c>
      <c r="U494" s="164">
        <v>3055</v>
      </c>
      <c r="V494" s="273">
        <f>+V495</f>
        <v>1536.45</v>
      </c>
      <c r="W494" s="273">
        <f t="shared" si="13"/>
        <v>50.292962356792145</v>
      </c>
    </row>
    <row r="495" spans="1:23" ht="32.25" customHeight="1" x14ac:dyDescent="0.2">
      <c r="A495" s="78"/>
      <c r="B495" s="498" t="s">
        <v>55</v>
      </c>
      <c r="C495" s="498"/>
      <c r="D495" s="498"/>
      <c r="E495" s="498"/>
      <c r="F495" s="498"/>
      <c r="G495" s="498"/>
      <c r="H495" s="498"/>
      <c r="I495" s="498"/>
      <c r="J495" s="498"/>
      <c r="K495" s="498"/>
      <c r="L495" s="499"/>
      <c r="M495" s="242">
        <v>10</v>
      </c>
      <c r="N495" s="242">
        <v>3</v>
      </c>
      <c r="O495" s="243" t="s">
        <v>485</v>
      </c>
      <c r="P495" s="244">
        <v>0</v>
      </c>
      <c r="Q495" s="500"/>
      <c r="R495" s="501"/>
      <c r="S495" s="245">
        <v>3055</v>
      </c>
      <c r="T495" s="246">
        <v>0</v>
      </c>
      <c r="U495" s="164">
        <v>3055</v>
      </c>
      <c r="V495" s="273">
        <f>+V496</f>
        <v>1536.45</v>
      </c>
      <c r="W495" s="273">
        <f t="shared" si="13"/>
        <v>50.292962356792145</v>
      </c>
    </row>
    <row r="496" spans="1:23" ht="21.75" customHeight="1" x14ac:dyDescent="0.2">
      <c r="A496" s="78"/>
      <c r="B496" s="498" t="s">
        <v>486</v>
      </c>
      <c r="C496" s="498"/>
      <c r="D496" s="498"/>
      <c r="E496" s="498"/>
      <c r="F496" s="498"/>
      <c r="G496" s="498"/>
      <c r="H496" s="498"/>
      <c r="I496" s="498"/>
      <c r="J496" s="498"/>
      <c r="K496" s="498"/>
      <c r="L496" s="499"/>
      <c r="M496" s="242">
        <v>10</v>
      </c>
      <c r="N496" s="242">
        <v>3</v>
      </c>
      <c r="O496" s="243" t="s">
        <v>487</v>
      </c>
      <c r="P496" s="244">
        <v>0</v>
      </c>
      <c r="Q496" s="500"/>
      <c r="R496" s="501"/>
      <c r="S496" s="245">
        <v>3055</v>
      </c>
      <c r="T496" s="246">
        <v>0</v>
      </c>
      <c r="U496" s="164">
        <v>3055</v>
      </c>
      <c r="V496" s="273">
        <f>+V497+V500</f>
        <v>1536.45</v>
      </c>
      <c r="W496" s="273">
        <f t="shared" si="13"/>
        <v>50.292962356792145</v>
      </c>
    </row>
    <row r="497" spans="1:23" ht="21.75" customHeight="1" x14ac:dyDescent="0.2">
      <c r="A497" s="78"/>
      <c r="B497" s="498" t="s">
        <v>345</v>
      </c>
      <c r="C497" s="498"/>
      <c r="D497" s="498"/>
      <c r="E497" s="498"/>
      <c r="F497" s="498"/>
      <c r="G497" s="498"/>
      <c r="H497" s="498"/>
      <c r="I497" s="498"/>
      <c r="J497" s="498"/>
      <c r="K497" s="498"/>
      <c r="L497" s="499"/>
      <c r="M497" s="242">
        <v>10</v>
      </c>
      <c r="N497" s="242">
        <v>3</v>
      </c>
      <c r="O497" s="243" t="s">
        <v>487</v>
      </c>
      <c r="P497" s="244" t="s">
        <v>24</v>
      </c>
      <c r="Q497" s="500"/>
      <c r="R497" s="501"/>
      <c r="S497" s="245">
        <v>15.2</v>
      </c>
      <c r="T497" s="246">
        <v>0</v>
      </c>
      <c r="U497" s="164">
        <v>15.2</v>
      </c>
      <c r="V497" s="273">
        <f>+V498</f>
        <v>3.6116799999999998</v>
      </c>
      <c r="W497" s="273">
        <f t="shared" si="13"/>
        <v>23.761052631578945</v>
      </c>
    </row>
    <row r="498" spans="1:23" ht="21.75" customHeight="1" x14ac:dyDescent="0.2">
      <c r="A498" s="78"/>
      <c r="B498" s="498" t="s">
        <v>346</v>
      </c>
      <c r="C498" s="498"/>
      <c r="D498" s="498"/>
      <c r="E498" s="498"/>
      <c r="F498" s="498"/>
      <c r="G498" s="498"/>
      <c r="H498" s="498"/>
      <c r="I498" s="498"/>
      <c r="J498" s="498"/>
      <c r="K498" s="498"/>
      <c r="L498" s="499"/>
      <c r="M498" s="242">
        <v>10</v>
      </c>
      <c r="N498" s="242">
        <v>3</v>
      </c>
      <c r="O498" s="243" t="s">
        <v>487</v>
      </c>
      <c r="P498" s="244" t="s">
        <v>26</v>
      </c>
      <c r="Q498" s="500"/>
      <c r="R498" s="501"/>
      <c r="S498" s="245">
        <v>15.2</v>
      </c>
      <c r="T498" s="246">
        <v>0</v>
      </c>
      <c r="U498" s="164">
        <v>15.2</v>
      </c>
      <c r="V498" s="273">
        <f>+V499</f>
        <v>3.6116799999999998</v>
      </c>
      <c r="W498" s="273">
        <f t="shared" si="13"/>
        <v>23.761052631578945</v>
      </c>
    </row>
    <row r="499" spans="1:23" ht="12.75" customHeight="1" x14ac:dyDescent="0.2">
      <c r="A499" s="78"/>
      <c r="B499" s="498" t="s">
        <v>348</v>
      </c>
      <c r="C499" s="498"/>
      <c r="D499" s="498"/>
      <c r="E499" s="498"/>
      <c r="F499" s="498"/>
      <c r="G499" s="498"/>
      <c r="H499" s="498"/>
      <c r="I499" s="498"/>
      <c r="J499" s="498"/>
      <c r="K499" s="498"/>
      <c r="L499" s="499"/>
      <c r="M499" s="242">
        <v>10</v>
      </c>
      <c r="N499" s="242">
        <v>3</v>
      </c>
      <c r="O499" s="243" t="s">
        <v>487</v>
      </c>
      <c r="P499" s="244" t="s">
        <v>28</v>
      </c>
      <c r="Q499" s="500"/>
      <c r="R499" s="501"/>
      <c r="S499" s="245">
        <v>15.2</v>
      </c>
      <c r="T499" s="246">
        <v>0</v>
      </c>
      <c r="U499" s="164">
        <v>15.2</v>
      </c>
      <c r="V499" s="273">
        <f>+'11'!AG155</f>
        <v>3.6116799999999998</v>
      </c>
      <c r="W499" s="273">
        <f t="shared" si="13"/>
        <v>23.761052631578945</v>
      </c>
    </row>
    <row r="500" spans="1:23" ht="12.75" customHeight="1" x14ac:dyDescent="0.2">
      <c r="A500" s="78"/>
      <c r="B500" s="498" t="s">
        <v>46</v>
      </c>
      <c r="C500" s="498"/>
      <c r="D500" s="498"/>
      <c r="E500" s="498"/>
      <c r="F500" s="498"/>
      <c r="G500" s="498"/>
      <c r="H500" s="498"/>
      <c r="I500" s="498"/>
      <c r="J500" s="498"/>
      <c r="K500" s="498"/>
      <c r="L500" s="499"/>
      <c r="M500" s="242">
        <v>10</v>
      </c>
      <c r="N500" s="242">
        <v>3</v>
      </c>
      <c r="O500" s="243" t="s">
        <v>487</v>
      </c>
      <c r="P500" s="244" t="s">
        <v>43</v>
      </c>
      <c r="Q500" s="500"/>
      <c r="R500" s="501"/>
      <c r="S500" s="245">
        <v>3039.8</v>
      </c>
      <c r="T500" s="246">
        <v>0</v>
      </c>
      <c r="U500" s="164">
        <v>3039.8</v>
      </c>
      <c r="V500" s="273">
        <f>+V501</f>
        <v>1532.8383200000001</v>
      </c>
      <c r="W500" s="273">
        <f t="shared" si="13"/>
        <v>50.425630633594309</v>
      </c>
    </row>
    <row r="501" spans="1:23" ht="21.75" customHeight="1" x14ac:dyDescent="0.2">
      <c r="A501" s="78"/>
      <c r="B501" s="498" t="s">
        <v>492</v>
      </c>
      <c r="C501" s="498"/>
      <c r="D501" s="498"/>
      <c r="E501" s="498"/>
      <c r="F501" s="498"/>
      <c r="G501" s="498"/>
      <c r="H501" s="498"/>
      <c r="I501" s="498"/>
      <c r="J501" s="498"/>
      <c r="K501" s="498"/>
      <c r="L501" s="499"/>
      <c r="M501" s="242">
        <v>10</v>
      </c>
      <c r="N501" s="242">
        <v>3</v>
      </c>
      <c r="O501" s="243" t="s">
        <v>487</v>
      </c>
      <c r="P501" s="244" t="s">
        <v>493</v>
      </c>
      <c r="Q501" s="500"/>
      <c r="R501" s="501"/>
      <c r="S501" s="245">
        <v>3039.8</v>
      </c>
      <c r="T501" s="246">
        <v>0</v>
      </c>
      <c r="U501" s="164">
        <v>3039.8</v>
      </c>
      <c r="V501" s="273">
        <f>+V502</f>
        <v>1532.8383200000001</v>
      </c>
      <c r="W501" s="273">
        <f t="shared" si="13"/>
        <v>50.425630633594309</v>
      </c>
    </row>
    <row r="502" spans="1:23" ht="21.75" customHeight="1" x14ac:dyDescent="0.2">
      <c r="A502" s="78"/>
      <c r="B502" s="498" t="s">
        <v>569</v>
      </c>
      <c r="C502" s="498"/>
      <c r="D502" s="498"/>
      <c r="E502" s="498"/>
      <c r="F502" s="498"/>
      <c r="G502" s="498"/>
      <c r="H502" s="498"/>
      <c r="I502" s="498"/>
      <c r="J502" s="498"/>
      <c r="K502" s="498"/>
      <c r="L502" s="499"/>
      <c r="M502" s="242">
        <v>10</v>
      </c>
      <c r="N502" s="242">
        <v>3</v>
      </c>
      <c r="O502" s="243" t="s">
        <v>487</v>
      </c>
      <c r="P502" s="244" t="s">
        <v>570</v>
      </c>
      <c r="Q502" s="500"/>
      <c r="R502" s="501"/>
      <c r="S502" s="245">
        <v>3039.8</v>
      </c>
      <c r="T502" s="246">
        <v>0</v>
      </c>
      <c r="U502" s="164">
        <v>3039.8</v>
      </c>
      <c r="V502" s="273">
        <f>+'11'!AG158</f>
        <v>1532.8383200000001</v>
      </c>
      <c r="W502" s="273">
        <f t="shared" si="13"/>
        <v>50.425630633594309</v>
      </c>
    </row>
    <row r="503" spans="1:23" ht="21.75" customHeight="1" x14ac:dyDescent="0.2">
      <c r="A503" s="78"/>
      <c r="B503" s="498" t="s">
        <v>155</v>
      </c>
      <c r="C503" s="498"/>
      <c r="D503" s="498"/>
      <c r="E503" s="498"/>
      <c r="F503" s="498"/>
      <c r="G503" s="498"/>
      <c r="H503" s="498"/>
      <c r="I503" s="498"/>
      <c r="J503" s="498"/>
      <c r="K503" s="498"/>
      <c r="L503" s="499"/>
      <c r="M503" s="242">
        <v>10</v>
      </c>
      <c r="N503" s="242">
        <v>3</v>
      </c>
      <c r="O503" s="243" t="s">
        <v>473</v>
      </c>
      <c r="P503" s="244">
        <v>0</v>
      </c>
      <c r="Q503" s="500"/>
      <c r="R503" s="501"/>
      <c r="S503" s="245">
        <v>3480</v>
      </c>
      <c r="T503" s="246">
        <v>0</v>
      </c>
      <c r="U503" s="164">
        <v>3480</v>
      </c>
      <c r="V503" s="273">
        <f>+V504</f>
        <v>550</v>
      </c>
      <c r="W503" s="273">
        <f t="shared" si="13"/>
        <v>15.804597701149426</v>
      </c>
    </row>
    <row r="504" spans="1:23" ht="32.25" customHeight="1" x14ac:dyDescent="0.2">
      <c r="A504" s="78"/>
      <c r="B504" s="498" t="s">
        <v>55</v>
      </c>
      <c r="C504" s="498"/>
      <c r="D504" s="498"/>
      <c r="E504" s="498"/>
      <c r="F504" s="498"/>
      <c r="G504" s="498"/>
      <c r="H504" s="498"/>
      <c r="I504" s="498"/>
      <c r="J504" s="498"/>
      <c r="K504" s="498"/>
      <c r="L504" s="499"/>
      <c r="M504" s="242">
        <v>10</v>
      </c>
      <c r="N504" s="242">
        <v>3</v>
      </c>
      <c r="O504" s="243" t="s">
        <v>485</v>
      </c>
      <c r="P504" s="244">
        <v>0</v>
      </c>
      <c r="Q504" s="500"/>
      <c r="R504" s="501"/>
      <c r="S504" s="245">
        <v>3480</v>
      </c>
      <c r="T504" s="246">
        <v>0</v>
      </c>
      <c r="U504" s="164">
        <v>3480</v>
      </c>
      <c r="V504" s="273">
        <f>+V505</f>
        <v>550</v>
      </c>
      <c r="W504" s="273">
        <f t="shared" si="13"/>
        <v>15.804597701149426</v>
      </c>
    </row>
    <row r="505" spans="1:23" ht="21.75" customHeight="1" x14ac:dyDescent="0.2">
      <c r="A505" s="78"/>
      <c r="B505" s="498" t="s">
        <v>56</v>
      </c>
      <c r="C505" s="498"/>
      <c r="D505" s="498"/>
      <c r="E505" s="498"/>
      <c r="F505" s="498"/>
      <c r="G505" s="498"/>
      <c r="H505" s="498"/>
      <c r="I505" s="498"/>
      <c r="J505" s="498"/>
      <c r="K505" s="498"/>
      <c r="L505" s="499"/>
      <c r="M505" s="242">
        <v>10</v>
      </c>
      <c r="N505" s="242">
        <v>3</v>
      </c>
      <c r="O505" s="243" t="s">
        <v>488</v>
      </c>
      <c r="P505" s="244">
        <v>0</v>
      </c>
      <c r="Q505" s="500"/>
      <c r="R505" s="501"/>
      <c r="S505" s="245">
        <v>3480</v>
      </c>
      <c r="T505" s="246">
        <v>0</v>
      </c>
      <c r="U505" s="164">
        <v>3480</v>
      </c>
      <c r="V505" s="273">
        <f>+V506+V509</f>
        <v>550</v>
      </c>
      <c r="W505" s="273">
        <f t="shared" si="13"/>
        <v>15.804597701149426</v>
      </c>
    </row>
    <row r="506" spans="1:23" ht="21.75" customHeight="1" x14ac:dyDescent="0.2">
      <c r="A506" s="78"/>
      <c r="B506" s="498" t="s">
        <v>345</v>
      </c>
      <c r="C506" s="498"/>
      <c r="D506" s="498"/>
      <c r="E506" s="498"/>
      <c r="F506" s="498"/>
      <c r="G506" s="498"/>
      <c r="H506" s="498"/>
      <c r="I506" s="498"/>
      <c r="J506" s="498"/>
      <c r="K506" s="498"/>
      <c r="L506" s="499"/>
      <c r="M506" s="242">
        <v>10</v>
      </c>
      <c r="N506" s="242">
        <v>3</v>
      </c>
      <c r="O506" s="243" t="s">
        <v>488</v>
      </c>
      <c r="P506" s="244" t="s">
        <v>24</v>
      </c>
      <c r="Q506" s="500"/>
      <c r="R506" s="501"/>
      <c r="S506" s="245">
        <v>15.7</v>
      </c>
      <c r="T506" s="246">
        <v>0</v>
      </c>
      <c r="U506" s="164">
        <v>15.7</v>
      </c>
      <c r="V506" s="273">
        <f>+V507</f>
        <v>8.32151</v>
      </c>
      <c r="W506" s="273">
        <f t="shared" si="13"/>
        <v>53.003248407643312</v>
      </c>
    </row>
    <row r="507" spans="1:23" ht="21.75" customHeight="1" x14ac:dyDescent="0.2">
      <c r="A507" s="78"/>
      <c r="B507" s="498" t="s">
        <v>346</v>
      </c>
      <c r="C507" s="498"/>
      <c r="D507" s="498"/>
      <c r="E507" s="498"/>
      <c r="F507" s="498"/>
      <c r="G507" s="498"/>
      <c r="H507" s="498"/>
      <c r="I507" s="498"/>
      <c r="J507" s="498"/>
      <c r="K507" s="498"/>
      <c r="L507" s="499"/>
      <c r="M507" s="242">
        <v>10</v>
      </c>
      <c r="N507" s="242">
        <v>3</v>
      </c>
      <c r="O507" s="243" t="s">
        <v>488</v>
      </c>
      <c r="P507" s="244" t="s">
        <v>26</v>
      </c>
      <c r="Q507" s="500"/>
      <c r="R507" s="501"/>
      <c r="S507" s="245">
        <v>15.7</v>
      </c>
      <c r="T507" s="246">
        <v>0</v>
      </c>
      <c r="U507" s="164">
        <v>15.7</v>
      </c>
      <c r="V507" s="273">
        <f>+V508</f>
        <v>8.32151</v>
      </c>
      <c r="W507" s="273">
        <f t="shared" si="13"/>
        <v>53.003248407643312</v>
      </c>
    </row>
    <row r="508" spans="1:23" ht="12.75" customHeight="1" x14ac:dyDescent="0.2">
      <c r="A508" s="78"/>
      <c r="B508" s="498" t="s">
        <v>348</v>
      </c>
      <c r="C508" s="498"/>
      <c r="D508" s="498"/>
      <c r="E508" s="498"/>
      <c r="F508" s="498"/>
      <c r="G508" s="498"/>
      <c r="H508" s="498"/>
      <c r="I508" s="498"/>
      <c r="J508" s="498"/>
      <c r="K508" s="498"/>
      <c r="L508" s="499"/>
      <c r="M508" s="242">
        <v>10</v>
      </c>
      <c r="N508" s="242">
        <v>3</v>
      </c>
      <c r="O508" s="243" t="s">
        <v>488</v>
      </c>
      <c r="P508" s="244" t="s">
        <v>28</v>
      </c>
      <c r="Q508" s="500"/>
      <c r="R508" s="501"/>
      <c r="S508" s="245">
        <v>15.7</v>
      </c>
      <c r="T508" s="246">
        <v>0</v>
      </c>
      <c r="U508" s="164">
        <v>15.7</v>
      </c>
      <c r="V508" s="273">
        <f>+'11'!AG164</f>
        <v>8.32151</v>
      </c>
      <c r="W508" s="273">
        <f t="shared" si="13"/>
        <v>53.003248407643312</v>
      </c>
    </row>
    <row r="509" spans="1:23" ht="12.75" customHeight="1" x14ac:dyDescent="0.2">
      <c r="A509" s="78"/>
      <c r="B509" s="498" t="s">
        <v>46</v>
      </c>
      <c r="C509" s="498"/>
      <c r="D509" s="498"/>
      <c r="E509" s="498"/>
      <c r="F509" s="498"/>
      <c r="G509" s="498"/>
      <c r="H509" s="498"/>
      <c r="I509" s="498"/>
      <c r="J509" s="498"/>
      <c r="K509" s="498"/>
      <c r="L509" s="499"/>
      <c r="M509" s="242">
        <v>10</v>
      </c>
      <c r="N509" s="242">
        <v>3</v>
      </c>
      <c r="O509" s="243" t="s">
        <v>488</v>
      </c>
      <c r="P509" s="244" t="s">
        <v>43</v>
      </c>
      <c r="Q509" s="500"/>
      <c r="R509" s="501"/>
      <c r="S509" s="245">
        <v>3464.3</v>
      </c>
      <c r="T509" s="246">
        <v>0</v>
      </c>
      <c r="U509" s="164">
        <v>3464.3</v>
      </c>
      <c r="V509" s="273">
        <f>+V510</f>
        <v>541.67849000000001</v>
      </c>
      <c r="W509" s="273">
        <f t="shared" si="13"/>
        <v>15.636015645296307</v>
      </c>
    </row>
    <row r="510" spans="1:23" ht="21.75" customHeight="1" x14ac:dyDescent="0.2">
      <c r="A510" s="78"/>
      <c r="B510" s="498" t="s">
        <v>492</v>
      </c>
      <c r="C510" s="498"/>
      <c r="D510" s="498"/>
      <c r="E510" s="498"/>
      <c r="F510" s="498"/>
      <c r="G510" s="498"/>
      <c r="H510" s="498"/>
      <c r="I510" s="498"/>
      <c r="J510" s="498"/>
      <c r="K510" s="498"/>
      <c r="L510" s="499"/>
      <c r="M510" s="242">
        <v>10</v>
      </c>
      <c r="N510" s="242">
        <v>3</v>
      </c>
      <c r="O510" s="243" t="s">
        <v>488</v>
      </c>
      <c r="P510" s="244" t="s">
        <v>493</v>
      </c>
      <c r="Q510" s="500"/>
      <c r="R510" s="501"/>
      <c r="S510" s="245">
        <v>3464.3</v>
      </c>
      <c r="T510" s="246">
        <v>0</v>
      </c>
      <c r="U510" s="164">
        <v>3464.3</v>
      </c>
      <c r="V510" s="273">
        <f>+V511</f>
        <v>541.67849000000001</v>
      </c>
      <c r="W510" s="273">
        <f t="shared" si="13"/>
        <v>15.636015645296307</v>
      </c>
    </row>
    <row r="511" spans="1:23" ht="21.75" customHeight="1" x14ac:dyDescent="0.2">
      <c r="A511" s="78"/>
      <c r="B511" s="498" t="s">
        <v>569</v>
      </c>
      <c r="C511" s="498"/>
      <c r="D511" s="498"/>
      <c r="E511" s="498"/>
      <c r="F511" s="498"/>
      <c r="G511" s="498"/>
      <c r="H511" s="498"/>
      <c r="I511" s="498"/>
      <c r="J511" s="498"/>
      <c r="K511" s="498"/>
      <c r="L511" s="499"/>
      <c r="M511" s="242">
        <v>10</v>
      </c>
      <c r="N511" s="242">
        <v>3</v>
      </c>
      <c r="O511" s="243" t="s">
        <v>488</v>
      </c>
      <c r="P511" s="244" t="s">
        <v>570</v>
      </c>
      <c r="Q511" s="500"/>
      <c r="R511" s="501"/>
      <c r="S511" s="245">
        <v>3464.3</v>
      </c>
      <c r="T511" s="246">
        <v>0</v>
      </c>
      <c r="U511" s="164">
        <v>3464.3</v>
      </c>
      <c r="V511" s="273">
        <f>+'11'!AG167</f>
        <v>541.67849000000001</v>
      </c>
      <c r="W511" s="273">
        <f t="shared" si="13"/>
        <v>15.636015645296307</v>
      </c>
    </row>
    <row r="512" spans="1:23" ht="21.75" customHeight="1" x14ac:dyDescent="0.2">
      <c r="A512" s="78"/>
      <c r="B512" s="498" t="s">
        <v>64</v>
      </c>
      <c r="C512" s="498"/>
      <c r="D512" s="498"/>
      <c r="E512" s="498"/>
      <c r="F512" s="498"/>
      <c r="G512" s="498"/>
      <c r="H512" s="498"/>
      <c r="I512" s="498"/>
      <c r="J512" s="498"/>
      <c r="K512" s="498"/>
      <c r="L512" s="499"/>
      <c r="M512" s="242">
        <v>10</v>
      </c>
      <c r="N512" s="242">
        <v>3</v>
      </c>
      <c r="O512" s="243" t="s">
        <v>416</v>
      </c>
      <c r="P512" s="244">
        <v>0</v>
      </c>
      <c r="Q512" s="500"/>
      <c r="R512" s="501"/>
      <c r="S512" s="245">
        <v>1064</v>
      </c>
      <c r="T512" s="246">
        <v>0</v>
      </c>
      <c r="U512" s="164">
        <v>1064</v>
      </c>
      <c r="V512" s="273">
        <f>+V513</f>
        <v>0</v>
      </c>
      <c r="W512" s="273">
        <f t="shared" si="13"/>
        <v>0</v>
      </c>
    </row>
    <row r="513" spans="1:23" ht="21.75" customHeight="1" x14ac:dyDescent="0.2">
      <c r="A513" s="78"/>
      <c r="B513" s="498" t="s">
        <v>65</v>
      </c>
      <c r="C513" s="498"/>
      <c r="D513" s="498"/>
      <c r="E513" s="498"/>
      <c r="F513" s="498"/>
      <c r="G513" s="498"/>
      <c r="H513" s="498"/>
      <c r="I513" s="498"/>
      <c r="J513" s="498"/>
      <c r="K513" s="498"/>
      <c r="L513" s="499"/>
      <c r="M513" s="242">
        <v>10</v>
      </c>
      <c r="N513" s="242">
        <v>3</v>
      </c>
      <c r="O513" s="243" t="s">
        <v>489</v>
      </c>
      <c r="P513" s="244">
        <v>0</v>
      </c>
      <c r="Q513" s="500"/>
      <c r="R513" s="501"/>
      <c r="S513" s="245">
        <v>1064</v>
      </c>
      <c r="T513" s="246">
        <v>0</v>
      </c>
      <c r="U513" s="164">
        <v>1064</v>
      </c>
      <c r="V513" s="273">
        <f>+V514</f>
        <v>0</v>
      </c>
      <c r="W513" s="273">
        <f t="shared" si="13"/>
        <v>0</v>
      </c>
    </row>
    <row r="514" spans="1:23" ht="42.75" customHeight="1" x14ac:dyDescent="0.2">
      <c r="A514" s="78"/>
      <c r="B514" s="498" t="s">
        <v>490</v>
      </c>
      <c r="C514" s="498"/>
      <c r="D514" s="498"/>
      <c r="E514" s="498"/>
      <c r="F514" s="498"/>
      <c r="G514" s="498"/>
      <c r="H514" s="498"/>
      <c r="I514" s="498"/>
      <c r="J514" s="498"/>
      <c r="K514" s="498"/>
      <c r="L514" s="499"/>
      <c r="M514" s="242">
        <v>10</v>
      </c>
      <c r="N514" s="242">
        <v>3</v>
      </c>
      <c r="O514" s="243" t="s">
        <v>491</v>
      </c>
      <c r="P514" s="244">
        <v>0</v>
      </c>
      <c r="Q514" s="500"/>
      <c r="R514" s="501"/>
      <c r="S514" s="245">
        <v>1064</v>
      </c>
      <c r="T514" s="246">
        <v>0</v>
      </c>
      <c r="U514" s="164">
        <v>1064</v>
      </c>
      <c r="V514" s="273">
        <f>+V515</f>
        <v>0</v>
      </c>
      <c r="W514" s="273">
        <f t="shared" si="13"/>
        <v>0</v>
      </c>
    </row>
    <row r="515" spans="1:23" ht="12.75" customHeight="1" x14ac:dyDescent="0.2">
      <c r="A515" s="78"/>
      <c r="B515" s="498" t="s">
        <v>46</v>
      </c>
      <c r="C515" s="498"/>
      <c r="D515" s="498"/>
      <c r="E515" s="498"/>
      <c r="F515" s="498"/>
      <c r="G515" s="498"/>
      <c r="H515" s="498"/>
      <c r="I515" s="498"/>
      <c r="J515" s="498"/>
      <c r="K515" s="498"/>
      <c r="L515" s="499"/>
      <c r="M515" s="242">
        <v>10</v>
      </c>
      <c r="N515" s="242">
        <v>3</v>
      </c>
      <c r="O515" s="243" t="s">
        <v>491</v>
      </c>
      <c r="P515" s="244" t="s">
        <v>43</v>
      </c>
      <c r="Q515" s="500"/>
      <c r="R515" s="501"/>
      <c r="S515" s="245">
        <v>1064</v>
      </c>
      <c r="T515" s="246">
        <v>0</v>
      </c>
      <c r="U515" s="164">
        <v>1064</v>
      </c>
      <c r="V515" s="273">
        <f>+V516</f>
        <v>0</v>
      </c>
      <c r="W515" s="273">
        <f t="shared" si="13"/>
        <v>0</v>
      </c>
    </row>
    <row r="516" spans="1:23" ht="21.75" customHeight="1" x14ac:dyDescent="0.2">
      <c r="A516" s="78"/>
      <c r="B516" s="498" t="s">
        <v>492</v>
      </c>
      <c r="C516" s="498"/>
      <c r="D516" s="498"/>
      <c r="E516" s="498"/>
      <c r="F516" s="498"/>
      <c r="G516" s="498"/>
      <c r="H516" s="498"/>
      <c r="I516" s="498"/>
      <c r="J516" s="498"/>
      <c r="K516" s="498"/>
      <c r="L516" s="499"/>
      <c r="M516" s="242">
        <v>10</v>
      </c>
      <c r="N516" s="242">
        <v>3</v>
      </c>
      <c r="O516" s="243" t="s">
        <v>491</v>
      </c>
      <c r="P516" s="244" t="s">
        <v>493</v>
      </c>
      <c r="Q516" s="500"/>
      <c r="R516" s="501"/>
      <c r="S516" s="245">
        <v>1064</v>
      </c>
      <c r="T516" s="246">
        <v>0</v>
      </c>
      <c r="U516" s="164">
        <v>1064</v>
      </c>
      <c r="V516" s="273">
        <f>+V517</f>
        <v>0</v>
      </c>
      <c r="W516" s="273">
        <f t="shared" si="13"/>
        <v>0</v>
      </c>
    </row>
    <row r="517" spans="1:23" ht="12.75" customHeight="1" x14ac:dyDescent="0.2">
      <c r="A517" s="78"/>
      <c r="B517" s="498" t="s">
        <v>87</v>
      </c>
      <c r="C517" s="498"/>
      <c r="D517" s="498"/>
      <c r="E517" s="498"/>
      <c r="F517" s="498"/>
      <c r="G517" s="498"/>
      <c r="H517" s="498"/>
      <c r="I517" s="498"/>
      <c r="J517" s="498"/>
      <c r="K517" s="498"/>
      <c r="L517" s="499"/>
      <c r="M517" s="242">
        <v>10</v>
      </c>
      <c r="N517" s="242">
        <v>3</v>
      </c>
      <c r="O517" s="243" t="s">
        <v>491</v>
      </c>
      <c r="P517" s="244" t="s">
        <v>494</v>
      </c>
      <c r="Q517" s="500"/>
      <c r="R517" s="501"/>
      <c r="S517" s="245">
        <v>1064</v>
      </c>
      <c r="T517" s="246">
        <v>0</v>
      </c>
      <c r="U517" s="164">
        <v>1064</v>
      </c>
      <c r="V517" s="273">
        <f>+'11'!AG554</f>
        <v>0</v>
      </c>
      <c r="W517" s="273">
        <f t="shared" si="13"/>
        <v>0</v>
      </c>
    </row>
    <row r="518" spans="1:23" ht="21.75" customHeight="1" x14ac:dyDescent="0.2">
      <c r="A518" s="78"/>
      <c r="B518" s="498" t="s">
        <v>64</v>
      </c>
      <c r="C518" s="498"/>
      <c r="D518" s="498"/>
      <c r="E518" s="498"/>
      <c r="F518" s="498"/>
      <c r="G518" s="498"/>
      <c r="H518" s="498"/>
      <c r="I518" s="498"/>
      <c r="J518" s="498"/>
      <c r="K518" s="498"/>
      <c r="L518" s="499"/>
      <c r="M518" s="242">
        <v>10</v>
      </c>
      <c r="N518" s="242">
        <v>3</v>
      </c>
      <c r="O518" s="243" t="s">
        <v>416</v>
      </c>
      <c r="P518" s="244">
        <v>0</v>
      </c>
      <c r="Q518" s="500"/>
      <c r="R518" s="501"/>
      <c r="S518" s="245">
        <v>3797.02</v>
      </c>
      <c r="T518" s="246">
        <v>0</v>
      </c>
      <c r="U518" s="164">
        <v>3797.02</v>
      </c>
      <c r="V518" s="273">
        <f>+V519</f>
        <v>0</v>
      </c>
      <c r="W518" s="273">
        <f t="shared" si="13"/>
        <v>0</v>
      </c>
    </row>
    <row r="519" spans="1:23" ht="12.75" customHeight="1" x14ac:dyDescent="0.2">
      <c r="A519" s="78"/>
      <c r="B519" s="498" t="s">
        <v>571</v>
      </c>
      <c r="C519" s="498"/>
      <c r="D519" s="498"/>
      <c r="E519" s="498"/>
      <c r="F519" s="498"/>
      <c r="G519" s="498"/>
      <c r="H519" s="498"/>
      <c r="I519" s="498"/>
      <c r="J519" s="498"/>
      <c r="K519" s="498"/>
      <c r="L519" s="499"/>
      <c r="M519" s="242">
        <v>10</v>
      </c>
      <c r="N519" s="242">
        <v>3</v>
      </c>
      <c r="O519" s="243" t="s">
        <v>572</v>
      </c>
      <c r="P519" s="244">
        <v>0</v>
      </c>
      <c r="Q519" s="500"/>
      <c r="R519" s="501"/>
      <c r="S519" s="245">
        <v>3797.02</v>
      </c>
      <c r="T519" s="246">
        <v>0</v>
      </c>
      <c r="U519" s="164">
        <v>3797.02</v>
      </c>
      <c r="V519" s="273">
        <f>+V520</f>
        <v>0</v>
      </c>
      <c r="W519" s="273">
        <f t="shared" si="13"/>
        <v>0</v>
      </c>
    </row>
    <row r="520" spans="1:23" ht="12.75" customHeight="1" x14ac:dyDescent="0.2">
      <c r="A520" s="78"/>
      <c r="B520" s="498" t="s">
        <v>571</v>
      </c>
      <c r="C520" s="498"/>
      <c r="D520" s="498"/>
      <c r="E520" s="498"/>
      <c r="F520" s="498"/>
      <c r="G520" s="498"/>
      <c r="H520" s="498"/>
      <c r="I520" s="498"/>
      <c r="J520" s="498"/>
      <c r="K520" s="498"/>
      <c r="L520" s="499"/>
      <c r="M520" s="242">
        <v>10</v>
      </c>
      <c r="N520" s="242">
        <v>3</v>
      </c>
      <c r="O520" s="243" t="s">
        <v>573</v>
      </c>
      <c r="P520" s="244">
        <v>0</v>
      </c>
      <c r="Q520" s="500"/>
      <c r="R520" s="501"/>
      <c r="S520" s="245">
        <v>3797.02</v>
      </c>
      <c r="T520" s="246">
        <v>0</v>
      </c>
      <c r="U520" s="164">
        <v>3797.02</v>
      </c>
      <c r="V520" s="273">
        <f>+V521</f>
        <v>0</v>
      </c>
      <c r="W520" s="273">
        <f t="shared" si="13"/>
        <v>0</v>
      </c>
    </row>
    <row r="521" spans="1:23" ht="12.75" customHeight="1" x14ac:dyDescent="0.2">
      <c r="A521" s="78"/>
      <c r="B521" s="498" t="s">
        <v>46</v>
      </c>
      <c r="C521" s="498"/>
      <c r="D521" s="498"/>
      <c r="E521" s="498"/>
      <c r="F521" s="498"/>
      <c r="G521" s="498"/>
      <c r="H521" s="498"/>
      <c r="I521" s="498"/>
      <c r="J521" s="498"/>
      <c r="K521" s="498"/>
      <c r="L521" s="499"/>
      <c r="M521" s="242">
        <v>10</v>
      </c>
      <c r="N521" s="242">
        <v>3</v>
      </c>
      <c r="O521" s="243" t="s">
        <v>573</v>
      </c>
      <c r="P521" s="244" t="s">
        <v>43</v>
      </c>
      <c r="Q521" s="500"/>
      <c r="R521" s="501"/>
      <c r="S521" s="245">
        <v>3797.02</v>
      </c>
      <c r="T521" s="246">
        <v>0</v>
      </c>
      <c r="U521" s="164">
        <v>3797.02</v>
      </c>
      <c r="V521" s="273">
        <f>+V522</f>
        <v>0</v>
      </c>
      <c r="W521" s="273">
        <f t="shared" si="13"/>
        <v>0</v>
      </c>
    </row>
    <row r="522" spans="1:23" ht="21.75" customHeight="1" x14ac:dyDescent="0.2">
      <c r="A522" s="78"/>
      <c r="B522" s="498" t="s">
        <v>492</v>
      </c>
      <c r="C522" s="498"/>
      <c r="D522" s="498"/>
      <c r="E522" s="498"/>
      <c r="F522" s="498"/>
      <c r="G522" s="498"/>
      <c r="H522" s="498"/>
      <c r="I522" s="498"/>
      <c r="J522" s="498"/>
      <c r="K522" s="498"/>
      <c r="L522" s="499"/>
      <c r="M522" s="242">
        <v>10</v>
      </c>
      <c r="N522" s="242">
        <v>3</v>
      </c>
      <c r="O522" s="243" t="s">
        <v>573</v>
      </c>
      <c r="P522" s="244" t="s">
        <v>493</v>
      </c>
      <c r="Q522" s="500"/>
      <c r="R522" s="501"/>
      <c r="S522" s="245">
        <v>3797.02</v>
      </c>
      <c r="T522" s="246">
        <v>0</v>
      </c>
      <c r="U522" s="164">
        <v>3797.02</v>
      </c>
      <c r="V522" s="273">
        <f>+V523</f>
        <v>0</v>
      </c>
      <c r="W522" s="273">
        <f t="shared" si="13"/>
        <v>0</v>
      </c>
    </row>
    <row r="523" spans="1:23" ht="12.75" customHeight="1" x14ac:dyDescent="0.2">
      <c r="A523" s="78"/>
      <c r="B523" s="498" t="s">
        <v>87</v>
      </c>
      <c r="C523" s="498"/>
      <c r="D523" s="498"/>
      <c r="E523" s="498"/>
      <c r="F523" s="498"/>
      <c r="G523" s="498"/>
      <c r="H523" s="498"/>
      <c r="I523" s="498"/>
      <c r="J523" s="498"/>
      <c r="K523" s="498"/>
      <c r="L523" s="499"/>
      <c r="M523" s="242">
        <v>10</v>
      </c>
      <c r="N523" s="242">
        <v>3</v>
      </c>
      <c r="O523" s="243" t="s">
        <v>573</v>
      </c>
      <c r="P523" s="244" t="s">
        <v>494</v>
      </c>
      <c r="Q523" s="500"/>
      <c r="R523" s="501"/>
      <c r="S523" s="245">
        <v>3797.02</v>
      </c>
      <c r="T523" s="246">
        <v>0</v>
      </c>
      <c r="U523" s="164">
        <v>3797.02</v>
      </c>
      <c r="V523" s="273"/>
      <c r="W523" s="273">
        <f t="shared" si="13"/>
        <v>0</v>
      </c>
    </row>
    <row r="524" spans="1:23" ht="32.25" customHeight="1" x14ac:dyDescent="0.2">
      <c r="A524" s="78"/>
      <c r="B524" s="498" t="s">
        <v>495</v>
      </c>
      <c r="C524" s="498"/>
      <c r="D524" s="498"/>
      <c r="E524" s="498"/>
      <c r="F524" s="498"/>
      <c r="G524" s="498"/>
      <c r="H524" s="498"/>
      <c r="I524" s="498"/>
      <c r="J524" s="498"/>
      <c r="K524" s="498"/>
      <c r="L524" s="499"/>
      <c r="M524" s="242">
        <v>10</v>
      </c>
      <c r="N524" s="242">
        <v>3</v>
      </c>
      <c r="O524" s="243" t="s">
        <v>496</v>
      </c>
      <c r="P524" s="244">
        <v>0</v>
      </c>
      <c r="Q524" s="500"/>
      <c r="R524" s="501"/>
      <c r="S524" s="245">
        <v>1246.5999999999999</v>
      </c>
      <c r="T524" s="246">
        <v>0</v>
      </c>
      <c r="U524" s="164">
        <v>1246.5999999999999</v>
      </c>
      <c r="V524" s="273">
        <f>+V525</f>
        <v>0</v>
      </c>
      <c r="W524" s="273">
        <f t="shared" si="13"/>
        <v>0</v>
      </c>
    </row>
    <row r="525" spans="1:23" ht="12.75" customHeight="1" x14ac:dyDescent="0.2">
      <c r="A525" s="78"/>
      <c r="B525" s="498" t="s">
        <v>497</v>
      </c>
      <c r="C525" s="498"/>
      <c r="D525" s="498"/>
      <c r="E525" s="498"/>
      <c r="F525" s="498"/>
      <c r="G525" s="498"/>
      <c r="H525" s="498"/>
      <c r="I525" s="498"/>
      <c r="J525" s="498"/>
      <c r="K525" s="498"/>
      <c r="L525" s="499"/>
      <c r="M525" s="242">
        <v>10</v>
      </c>
      <c r="N525" s="242">
        <v>3</v>
      </c>
      <c r="O525" s="243" t="s">
        <v>498</v>
      </c>
      <c r="P525" s="244">
        <v>0</v>
      </c>
      <c r="Q525" s="500"/>
      <c r="R525" s="501"/>
      <c r="S525" s="245">
        <v>1246.5999999999999</v>
      </c>
      <c r="T525" s="246">
        <v>0</v>
      </c>
      <c r="U525" s="164">
        <v>1246.5999999999999</v>
      </c>
      <c r="V525" s="273">
        <f>+V526</f>
        <v>0</v>
      </c>
      <c r="W525" s="273">
        <f t="shared" si="13"/>
        <v>0</v>
      </c>
    </row>
    <row r="526" spans="1:23" ht="12.75" customHeight="1" x14ac:dyDescent="0.2">
      <c r="A526" s="78"/>
      <c r="B526" s="498" t="s">
        <v>574</v>
      </c>
      <c r="C526" s="498"/>
      <c r="D526" s="498"/>
      <c r="E526" s="498"/>
      <c r="F526" s="498"/>
      <c r="G526" s="498"/>
      <c r="H526" s="498"/>
      <c r="I526" s="498"/>
      <c r="J526" s="498"/>
      <c r="K526" s="498"/>
      <c r="L526" s="499"/>
      <c r="M526" s="242">
        <v>10</v>
      </c>
      <c r="N526" s="242">
        <v>3</v>
      </c>
      <c r="O526" s="243" t="s">
        <v>575</v>
      </c>
      <c r="P526" s="244">
        <v>0</v>
      </c>
      <c r="Q526" s="500"/>
      <c r="R526" s="501"/>
      <c r="S526" s="245">
        <v>1246.5999999999999</v>
      </c>
      <c r="T526" s="246">
        <v>0</v>
      </c>
      <c r="U526" s="164">
        <v>1246.5999999999999</v>
      </c>
      <c r="V526" s="273">
        <f>+V527</f>
        <v>0</v>
      </c>
      <c r="W526" s="273">
        <f t="shared" si="13"/>
        <v>0</v>
      </c>
    </row>
    <row r="527" spans="1:23" ht="12.75" customHeight="1" x14ac:dyDescent="0.2">
      <c r="A527" s="78"/>
      <c r="B527" s="498" t="s">
        <v>46</v>
      </c>
      <c r="C527" s="498"/>
      <c r="D527" s="498"/>
      <c r="E527" s="498"/>
      <c r="F527" s="498"/>
      <c r="G527" s="498"/>
      <c r="H527" s="498"/>
      <c r="I527" s="498"/>
      <c r="J527" s="498"/>
      <c r="K527" s="498"/>
      <c r="L527" s="499"/>
      <c r="M527" s="242">
        <v>10</v>
      </c>
      <c r="N527" s="242">
        <v>3</v>
      </c>
      <c r="O527" s="243" t="s">
        <v>575</v>
      </c>
      <c r="P527" s="244" t="s">
        <v>43</v>
      </c>
      <c r="Q527" s="500"/>
      <c r="R527" s="501"/>
      <c r="S527" s="245">
        <v>1246.5999999999999</v>
      </c>
      <c r="T527" s="246">
        <v>0</v>
      </c>
      <c r="U527" s="164">
        <v>1246.5999999999999</v>
      </c>
      <c r="V527" s="273">
        <f>+V528</f>
        <v>0</v>
      </c>
      <c r="W527" s="273">
        <f t="shared" si="13"/>
        <v>0</v>
      </c>
    </row>
    <row r="528" spans="1:23" ht="21.75" customHeight="1" x14ac:dyDescent="0.2">
      <c r="A528" s="78"/>
      <c r="B528" s="498" t="s">
        <v>492</v>
      </c>
      <c r="C528" s="498"/>
      <c r="D528" s="498"/>
      <c r="E528" s="498"/>
      <c r="F528" s="498"/>
      <c r="G528" s="498"/>
      <c r="H528" s="498"/>
      <c r="I528" s="498"/>
      <c r="J528" s="498"/>
      <c r="K528" s="498"/>
      <c r="L528" s="499"/>
      <c r="M528" s="242">
        <v>10</v>
      </c>
      <c r="N528" s="242">
        <v>3</v>
      </c>
      <c r="O528" s="243" t="s">
        <v>575</v>
      </c>
      <c r="P528" s="244" t="s">
        <v>493</v>
      </c>
      <c r="Q528" s="500"/>
      <c r="R528" s="501"/>
      <c r="S528" s="245">
        <v>1246.5999999999999</v>
      </c>
      <c r="T528" s="246">
        <v>0</v>
      </c>
      <c r="U528" s="164">
        <v>1246.5999999999999</v>
      </c>
      <c r="V528" s="273">
        <f>+V529</f>
        <v>0</v>
      </c>
      <c r="W528" s="273">
        <f t="shared" si="13"/>
        <v>0</v>
      </c>
    </row>
    <row r="529" spans="1:23" ht="12.75" customHeight="1" x14ac:dyDescent="0.2">
      <c r="A529" s="78"/>
      <c r="B529" s="498" t="s">
        <v>87</v>
      </c>
      <c r="C529" s="498"/>
      <c r="D529" s="498"/>
      <c r="E529" s="498"/>
      <c r="F529" s="498"/>
      <c r="G529" s="498"/>
      <c r="H529" s="498"/>
      <c r="I529" s="498"/>
      <c r="J529" s="498"/>
      <c r="K529" s="498"/>
      <c r="L529" s="499"/>
      <c r="M529" s="242">
        <v>10</v>
      </c>
      <c r="N529" s="242">
        <v>3</v>
      </c>
      <c r="O529" s="243" t="s">
        <v>575</v>
      </c>
      <c r="P529" s="244" t="s">
        <v>494</v>
      </c>
      <c r="Q529" s="500"/>
      <c r="R529" s="501"/>
      <c r="S529" s="245">
        <v>1246.5999999999999</v>
      </c>
      <c r="T529" s="246">
        <v>0</v>
      </c>
      <c r="U529" s="164">
        <v>1246.5999999999999</v>
      </c>
      <c r="V529" s="273"/>
      <c r="W529" s="273">
        <f t="shared" si="13"/>
        <v>0</v>
      </c>
    </row>
    <row r="530" spans="1:23" ht="21.75" customHeight="1" x14ac:dyDescent="0.2">
      <c r="A530" s="78"/>
      <c r="B530" s="498" t="s">
        <v>431</v>
      </c>
      <c r="C530" s="498"/>
      <c r="D530" s="498"/>
      <c r="E530" s="498"/>
      <c r="F530" s="498"/>
      <c r="G530" s="498"/>
      <c r="H530" s="498"/>
      <c r="I530" s="498"/>
      <c r="J530" s="498"/>
      <c r="K530" s="498"/>
      <c r="L530" s="499"/>
      <c r="M530" s="242">
        <v>10</v>
      </c>
      <c r="N530" s="242">
        <v>3</v>
      </c>
      <c r="O530" s="243" t="s">
        <v>432</v>
      </c>
      <c r="P530" s="244">
        <v>0</v>
      </c>
      <c r="Q530" s="500"/>
      <c r="R530" s="501"/>
      <c r="S530" s="245">
        <v>1042.3</v>
      </c>
      <c r="T530" s="246">
        <v>0</v>
      </c>
      <c r="U530" s="164">
        <v>1042.3</v>
      </c>
      <c r="V530" s="273">
        <f>+V531</f>
        <v>0</v>
      </c>
      <c r="W530" s="273">
        <f t="shared" si="13"/>
        <v>0</v>
      </c>
    </row>
    <row r="531" spans="1:23" ht="32.25" customHeight="1" x14ac:dyDescent="0.2">
      <c r="A531" s="78"/>
      <c r="B531" s="498" t="s">
        <v>499</v>
      </c>
      <c r="C531" s="498"/>
      <c r="D531" s="498"/>
      <c r="E531" s="498"/>
      <c r="F531" s="498"/>
      <c r="G531" s="498"/>
      <c r="H531" s="498"/>
      <c r="I531" s="498"/>
      <c r="J531" s="498"/>
      <c r="K531" s="498"/>
      <c r="L531" s="499"/>
      <c r="M531" s="242">
        <v>10</v>
      </c>
      <c r="N531" s="242">
        <v>3</v>
      </c>
      <c r="O531" s="243" t="s">
        <v>500</v>
      </c>
      <c r="P531" s="244">
        <v>0</v>
      </c>
      <c r="Q531" s="500"/>
      <c r="R531" s="501"/>
      <c r="S531" s="245">
        <v>1042.3</v>
      </c>
      <c r="T531" s="246">
        <v>0</v>
      </c>
      <c r="U531" s="164">
        <v>1042.3</v>
      </c>
      <c r="V531" s="273">
        <f>+V532</f>
        <v>0</v>
      </c>
      <c r="W531" s="273">
        <f t="shared" ref="W531:W602" si="14">V531/U531*100</f>
        <v>0</v>
      </c>
    </row>
    <row r="532" spans="1:23" ht="32.25" customHeight="1" x14ac:dyDescent="0.2">
      <c r="A532" s="78"/>
      <c r="B532" s="498" t="s">
        <v>7</v>
      </c>
      <c r="C532" s="498"/>
      <c r="D532" s="498"/>
      <c r="E532" s="498"/>
      <c r="F532" s="498"/>
      <c r="G532" s="498"/>
      <c r="H532" s="498"/>
      <c r="I532" s="498"/>
      <c r="J532" s="498"/>
      <c r="K532" s="498"/>
      <c r="L532" s="499"/>
      <c r="M532" s="242">
        <v>10</v>
      </c>
      <c r="N532" s="242">
        <v>3</v>
      </c>
      <c r="O532" s="243" t="s">
        <v>501</v>
      </c>
      <c r="P532" s="244">
        <v>0</v>
      </c>
      <c r="Q532" s="500"/>
      <c r="R532" s="501"/>
      <c r="S532" s="245">
        <v>1042.3</v>
      </c>
      <c r="T532" s="246">
        <v>0</v>
      </c>
      <c r="U532" s="164">
        <v>1042.3</v>
      </c>
      <c r="V532" s="273">
        <f>+V533</f>
        <v>0</v>
      </c>
      <c r="W532" s="273">
        <f t="shared" si="14"/>
        <v>0</v>
      </c>
    </row>
    <row r="533" spans="1:23" ht="21.75" customHeight="1" x14ac:dyDescent="0.2">
      <c r="A533" s="78"/>
      <c r="B533" s="498" t="s">
        <v>436</v>
      </c>
      <c r="C533" s="498"/>
      <c r="D533" s="498"/>
      <c r="E533" s="498"/>
      <c r="F533" s="498"/>
      <c r="G533" s="498"/>
      <c r="H533" s="498"/>
      <c r="I533" s="498"/>
      <c r="J533" s="498"/>
      <c r="K533" s="498"/>
      <c r="L533" s="499"/>
      <c r="M533" s="242">
        <v>10</v>
      </c>
      <c r="N533" s="242">
        <v>3</v>
      </c>
      <c r="O533" s="243" t="s">
        <v>501</v>
      </c>
      <c r="P533" s="244" t="s">
        <v>8</v>
      </c>
      <c r="Q533" s="500"/>
      <c r="R533" s="501"/>
      <c r="S533" s="245">
        <v>1042.3</v>
      </c>
      <c r="T533" s="246">
        <v>0</v>
      </c>
      <c r="U533" s="164">
        <v>1042.3</v>
      </c>
      <c r="V533" s="273">
        <f>+V534</f>
        <v>0</v>
      </c>
      <c r="W533" s="273">
        <f t="shared" si="14"/>
        <v>0</v>
      </c>
    </row>
    <row r="534" spans="1:23" ht="12.75" customHeight="1" x14ac:dyDescent="0.2">
      <c r="A534" s="78"/>
      <c r="B534" s="498" t="s">
        <v>9</v>
      </c>
      <c r="C534" s="498"/>
      <c r="D534" s="498"/>
      <c r="E534" s="498"/>
      <c r="F534" s="498"/>
      <c r="G534" s="498"/>
      <c r="H534" s="498"/>
      <c r="I534" s="498"/>
      <c r="J534" s="498"/>
      <c r="K534" s="498"/>
      <c r="L534" s="499"/>
      <c r="M534" s="242">
        <v>10</v>
      </c>
      <c r="N534" s="242">
        <v>3</v>
      </c>
      <c r="O534" s="243" t="s">
        <v>501</v>
      </c>
      <c r="P534" s="244" t="s">
        <v>10</v>
      </c>
      <c r="Q534" s="500"/>
      <c r="R534" s="501"/>
      <c r="S534" s="245">
        <v>1042.3</v>
      </c>
      <c r="T534" s="246">
        <v>0</v>
      </c>
      <c r="U534" s="164">
        <v>1042.3</v>
      </c>
      <c r="V534" s="273">
        <f>+V535</f>
        <v>0</v>
      </c>
      <c r="W534" s="273">
        <f t="shared" si="14"/>
        <v>0</v>
      </c>
    </row>
    <row r="535" spans="1:23" ht="42.75" customHeight="1" x14ac:dyDescent="0.2">
      <c r="A535" s="78"/>
      <c r="B535" s="498" t="s">
        <v>11</v>
      </c>
      <c r="C535" s="498"/>
      <c r="D535" s="498"/>
      <c r="E535" s="498"/>
      <c r="F535" s="498"/>
      <c r="G535" s="498"/>
      <c r="H535" s="498"/>
      <c r="I535" s="498"/>
      <c r="J535" s="498"/>
      <c r="K535" s="498"/>
      <c r="L535" s="499"/>
      <c r="M535" s="242">
        <v>10</v>
      </c>
      <c r="N535" s="242">
        <v>3</v>
      </c>
      <c r="O535" s="243" t="s">
        <v>501</v>
      </c>
      <c r="P535" s="244" t="s">
        <v>12</v>
      </c>
      <c r="Q535" s="500"/>
      <c r="R535" s="501"/>
      <c r="S535" s="245">
        <v>1042.3</v>
      </c>
      <c r="T535" s="246">
        <v>0</v>
      </c>
      <c r="U535" s="164">
        <v>1042.3</v>
      </c>
      <c r="V535" s="273"/>
      <c r="W535" s="273">
        <f t="shared" si="14"/>
        <v>0</v>
      </c>
    </row>
    <row r="536" spans="1:23" x14ac:dyDescent="0.2">
      <c r="A536" s="78"/>
      <c r="B536" s="498" t="str">
        <f>+'11'!B567:M567</f>
        <v>Непрограммные расходы по предоставлению межбюджетных трансфертов и резервные фонды</v>
      </c>
      <c r="C536" s="498"/>
      <c r="D536" s="498"/>
      <c r="E536" s="498"/>
      <c r="F536" s="498"/>
      <c r="G536" s="498"/>
      <c r="H536" s="498"/>
      <c r="I536" s="498"/>
      <c r="J536" s="498"/>
      <c r="K536" s="498"/>
      <c r="L536" s="499"/>
      <c r="M536" s="242">
        <f>+'11'!O567</f>
        <v>10</v>
      </c>
      <c r="N536" s="242">
        <f>+'11'!P567</f>
        <v>3</v>
      </c>
      <c r="O536" s="242" t="str">
        <f>+'11'!Q567</f>
        <v>9700000000</v>
      </c>
      <c r="P536" s="242">
        <f>+'11'!R567</f>
        <v>0</v>
      </c>
      <c r="Q536" s="242">
        <f>+'11'!S567</f>
        <v>0</v>
      </c>
      <c r="R536" s="242">
        <f>+'11'!T567</f>
        <v>0</v>
      </c>
      <c r="S536" s="242">
        <f>+'11'!U567</f>
        <v>0</v>
      </c>
      <c r="T536" s="242">
        <f>+'11'!V567</f>
        <v>11</v>
      </c>
      <c r="U536" s="245"/>
      <c r="V536" s="245">
        <f>+'11'!AG567</f>
        <v>20</v>
      </c>
      <c r="W536" s="273" t="e">
        <f t="shared" si="14"/>
        <v>#DIV/0!</v>
      </c>
    </row>
    <row r="537" spans="1:23" ht="42.75" customHeight="1" x14ac:dyDescent="0.2">
      <c r="A537" s="78"/>
      <c r="B537" s="498" t="str">
        <f>+'11'!B568:M568</f>
        <v>Резервный фонд администрации Овюрского кожууна</v>
      </c>
      <c r="C537" s="498"/>
      <c r="D537" s="498"/>
      <c r="E537" s="498"/>
      <c r="F537" s="498"/>
      <c r="G537" s="498"/>
      <c r="H537" s="498"/>
      <c r="I537" s="498"/>
      <c r="J537" s="498"/>
      <c r="K537" s="498"/>
      <c r="L537" s="499"/>
      <c r="M537" s="242">
        <f>+'11'!O568</f>
        <v>10</v>
      </c>
      <c r="N537" s="242">
        <f>+'11'!P568</f>
        <v>3</v>
      </c>
      <c r="O537" s="242" t="str">
        <f>+'11'!Q568</f>
        <v>9700004000</v>
      </c>
      <c r="P537" s="242">
        <f>+'11'!R568</f>
        <v>0</v>
      </c>
      <c r="Q537" s="242">
        <f>+'11'!S568</f>
        <v>0</v>
      </c>
      <c r="R537" s="242">
        <f>+'11'!T568</f>
        <v>0</v>
      </c>
      <c r="S537" s="242">
        <f>+'11'!U568</f>
        <v>0</v>
      </c>
      <c r="T537" s="242">
        <f>+'11'!V568</f>
        <v>11</v>
      </c>
      <c r="U537" s="245"/>
      <c r="V537" s="245">
        <f>+'11'!AG568</f>
        <v>20</v>
      </c>
      <c r="W537" s="273" t="e">
        <f t="shared" si="14"/>
        <v>#DIV/0!</v>
      </c>
    </row>
    <row r="538" spans="1:23" ht="42.75" customHeight="1" x14ac:dyDescent="0.2">
      <c r="A538" s="78"/>
      <c r="B538" s="498" t="str">
        <f>+'11'!B569:M569</f>
        <v>Социальное обеспечение и иные выплаты населению</v>
      </c>
      <c r="C538" s="498"/>
      <c r="D538" s="498"/>
      <c r="E538" s="498"/>
      <c r="F538" s="498"/>
      <c r="G538" s="498"/>
      <c r="H538" s="498"/>
      <c r="I538" s="498"/>
      <c r="J538" s="498"/>
      <c r="K538" s="498"/>
      <c r="L538" s="499"/>
      <c r="M538" s="242">
        <f>+'11'!O569</f>
        <v>10</v>
      </c>
      <c r="N538" s="242">
        <f>+'11'!P569</f>
        <v>3</v>
      </c>
      <c r="O538" s="242" t="str">
        <f>+'11'!Q569</f>
        <v>9700004000</v>
      </c>
      <c r="P538" s="242" t="str">
        <f>+'11'!R569</f>
        <v>300</v>
      </c>
      <c r="Q538" s="242">
        <f>+'11'!S569</f>
        <v>0</v>
      </c>
      <c r="R538" s="242">
        <f>+'11'!T569</f>
        <v>0</v>
      </c>
      <c r="S538" s="242">
        <f>+'11'!U569</f>
        <v>0</v>
      </c>
      <c r="T538" s="242">
        <f>+'11'!V569</f>
        <v>11</v>
      </c>
      <c r="U538" s="245"/>
      <c r="V538" s="245">
        <f>+'11'!AG569</f>
        <v>20</v>
      </c>
      <c r="W538" s="273" t="e">
        <f t="shared" si="14"/>
        <v>#DIV/0!</v>
      </c>
    </row>
    <row r="539" spans="1:23" ht="42.75" customHeight="1" x14ac:dyDescent="0.2">
      <c r="A539" s="78"/>
      <c r="B539" s="498" t="str">
        <f>+'11'!B570:M570</f>
        <v>Иные выплаты населению</v>
      </c>
      <c r="C539" s="498"/>
      <c r="D539" s="498"/>
      <c r="E539" s="498"/>
      <c r="F539" s="498"/>
      <c r="G539" s="498"/>
      <c r="H539" s="498"/>
      <c r="I539" s="498"/>
      <c r="J539" s="498"/>
      <c r="K539" s="498"/>
      <c r="L539" s="499"/>
      <c r="M539" s="242">
        <f>+'11'!O570</f>
        <v>10</v>
      </c>
      <c r="N539" s="242">
        <f>+'11'!P570</f>
        <v>3</v>
      </c>
      <c r="O539" s="242" t="str">
        <f>+'11'!Q570</f>
        <v>9700004000</v>
      </c>
      <c r="P539" s="242" t="str">
        <f>+'11'!R570</f>
        <v>360</v>
      </c>
      <c r="Q539" s="242">
        <f>+'11'!S570</f>
        <v>0</v>
      </c>
      <c r="R539" s="242">
        <f>+'11'!T570</f>
        <v>0</v>
      </c>
      <c r="S539" s="242">
        <f>+'11'!U570</f>
        <v>0</v>
      </c>
      <c r="T539" s="242">
        <f>+'11'!V570</f>
        <v>11</v>
      </c>
      <c r="U539" s="245"/>
      <c r="V539" s="245">
        <f>+'11'!AG570</f>
        <v>20</v>
      </c>
      <c r="W539" s="273" t="e">
        <f t="shared" si="14"/>
        <v>#DIV/0!</v>
      </c>
    </row>
    <row r="540" spans="1:23" ht="12.75" customHeight="1" x14ac:dyDescent="0.25">
      <c r="A540" s="78"/>
      <c r="B540" s="502" t="s">
        <v>502</v>
      </c>
      <c r="C540" s="502"/>
      <c r="D540" s="502"/>
      <c r="E540" s="502"/>
      <c r="F540" s="502"/>
      <c r="G540" s="502"/>
      <c r="H540" s="502"/>
      <c r="I540" s="502"/>
      <c r="J540" s="502"/>
      <c r="K540" s="502"/>
      <c r="L540" s="503"/>
      <c r="M540" s="237">
        <v>10</v>
      </c>
      <c r="N540" s="237">
        <v>4</v>
      </c>
      <c r="O540" s="238">
        <v>0</v>
      </c>
      <c r="P540" s="239">
        <v>0</v>
      </c>
      <c r="Q540" s="504"/>
      <c r="R540" s="505"/>
      <c r="S540" s="240">
        <v>36612.1</v>
      </c>
      <c r="T540" s="241">
        <v>0</v>
      </c>
      <c r="U540" s="274">
        <v>36612.1</v>
      </c>
      <c r="V540" s="273">
        <f>+V541+V547+V551+V557</f>
        <v>8686.7656800000004</v>
      </c>
      <c r="W540" s="273">
        <f t="shared" si="14"/>
        <v>23.726488456002254</v>
      </c>
    </row>
    <row r="541" spans="1:23" ht="21.75" customHeight="1" x14ac:dyDescent="0.2">
      <c r="A541" s="78"/>
      <c r="B541" s="498" t="s">
        <v>155</v>
      </c>
      <c r="C541" s="498"/>
      <c r="D541" s="498"/>
      <c r="E541" s="498"/>
      <c r="F541" s="498"/>
      <c r="G541" s="498"/>
      <c r="H541" s="498"/>
      <c r="I541" s="498"/>
      <c r="J541" s="498"/>
      <c r="K541" s="498"/>
      <c r="L541" s="499"/>
      <c r="M541" s="242">
        <v>10</v>
      </c>
      <c r="N541" s="242">
        <v>4</v>
      </c>
      <c r="O541" s="243" t="s">
        <v>473</v>
      </c>
      <c r="P541" s="244">
        <v>0</v>
      </c>
      <c r="Q541" s="500"/>
      <c r="R541" s="501"/>
      <c r="S541" s="245">
        <v>20252.8</v>
      </c>
      <c r="T541" s="246">
        <v>0</v>
      </c>
      <c r="U541" s="164">
        <v>0</v>
      </c>
      <c r="V541" s="273">
        <f>+V542</f>
        <v>184.80426</v>
      </c>
      <c r="W541" s="273" t="e">
        <f t="shared" si="14"/>
        <v>#DIV/0!</v>
      </c>
    </row>
    <row r="542" spans="1:23" ht="12.75" customHeight="1" x14ac:dyDescent="0.2">
      <c r="A542" s="78"/>
      <c r="B542" s="498" t="s">
        <v>53</v>
      </c>
      <c r="C542" s="498"/>
      <c r="D542" s="498"/>
      <c r="E542" s="498"/>
      <c r="F542" s="498"/>
      <c r="G542" s="498"/>
      <c r="H542" s="498"/>
      <c r="I542" s="498"/>
      <c r="J542" s="498"/>
      <c r="K542" s="498"/>
      <c r="L542" s="499"/>
      <c r="M542" s="242">
        <v>10</v>
      </c>
      <c r="N542" s="242">
        <v>4</v>
      </c>
      <c r="O542" s="243" t="s">
        <v>481</v>
      </c>
      <c r="P542" s="244">
        <v>0</v>
      </c>
      <c r="Q542" s="500"/>
      <c r="R542" s="501"/>
      <c r="S542" s="245">
        <v>20252.8</v>
      </c>
      <c r="T542" s="246">
        <v>0</v>
      </c>
      <c r="U542" s="164">
        <v>0</v>
      </c>
      <c r="V542" s="273">
        <f>+V543</f>
        <v>184.80426</v>
      </c>
      <c r="W542" s="273" t="e">
        <f t="shared" si="14"/>
        <v>#DIV/0!</v>
      </c>
    </row>
    <row r="543" spans="1:23" ht="84.75" customHeight="1" x14ac:dyDescent="0.2">
      <c r="A543" s="78"/>
      <c r="B543" s="498" t="str">
        <f>+'11'!B171:M171</f>
        <v>Субвенции бюджетам муниципальных районов на осуществление ежемесячной денежной выплаты, назначаемой в случае рождения третьего ребенка или последующих детей до достижения ребенком возраста трех лет</v>
      </c>
      <c r="C543" s="498"/>
      <c r="D543" s="498"/>
      <c r="E543" s="498"/>
      <c r="F543" s="498"/>
      <c r="G543" s="498"/>
      <c r="H543" s="498"/>
      <c r="I543" s="498"/>
      <c r="J543" s="498"/>
      <c r="K543" s="498"/>
      <c r="L543" s="499"/>
      <c r="M543" s="242">
        <f>+'11'!O171</f>
        <v>10</v>
      </c>
      <c r="N543" s="242">
        <f>+'11'!P171</f>
        <v>4</v>
      </c>
      <c r="O543" s="242" t="str">
        <f>+'11'!Q171</f>
        <v>012Р150840</v>
      </c>
      <c r="P543" s="242">
        <f>+'11'!R171</f>
        <v>0</v>
      </c>
      <c r="Q543" s="500"/>
      <c r="R543" s="501"/>
      <c r="S543" s="245">
        <v>20252.8</v>
      </c>
      <c r="T543" s="246">
        <v>0</v>
      </c>
      <c r="U543" s="164">
        <f>+'11'!U171</f>
        <v>0</v>
      </c>
      <c r="V543" s="164">
        <f>+V544</f>
        <v>184.80426</v>
      </c>
      <c r="W543" s="273" t="e">
        <f t="shared" ref="W543:W546" si="15">V543/U543*100</f>
        <v>#DIV/0!</v>
      </c>
    </row>
    <row r="544" spans="1:23" ht="12.75" customHeight="1" x14ac:dyDescent="0.2">
      <c r="A544" s="78"/>
      <c r="B544" s="498" t="str">
        <f>+'11'!B172:M172</f>
        <v>Социальное обеспечение и иные выплаты населению</v>
      </c>
      <c r="C544" s="498"/>
      <c r="D544" s="498"/>
      <c r="E544" s="498"/>
      <c r="F544" s="498"/>
      <c r="G544" s="498"/>
      <c r="H544" s="498"/>
      <c r="I544" s="498"/>
      <c r="J544" s="498"/>
      <c r="K544" s="498"/>
      <c r="L544" s="499"/>
      <c r="M544" s="242">
        <f>+'11'!O172</f>
        <v>10</v>
      </c>
      <c r="N544" s="242">
        <f>+'11'!P172</f>
        <v>4</v>
      </c>
      <c r="O544" s="242" t="str">
        <f>+'11'!Q172</f>
        <v>012Р150840</v>
      </c>
      <c r="P544" s="242" t="str">
        <f>+'11'!R172</f>
        <v>300</v>
      </c>
      <c r="Q544" s="500"/>
      <c r="R544" s="501"/>
      <c r="S544" s="245">
        <v>20252.8</v>
      </c>
      <c r="T544" s="246">
        <v>0</v>
      </c>
      <c r="U544" s="164">
        <f>+'11'!U172</f>
        <v>0</v>
      </c>
      <c r="V544" s="164">
        <f>+V545</f>
        <v>184.80426</v>
      </c>
      <c r="W544" s="273" t="e">
        <f t="shared" si="15"/>
        <v>#DIV/0!</v>
      </c>
    </row>
    <row r="545" spans="1:23" ht="12.75" customHeight="1" x14ac:dyDescent="0.2">
      <c r="A545" s="78"/>
      <c r="B545" s="498" t="str">
        <f>+'11'!B173:M173</f>
        <v>Публичные нормативные социальные выплаты гражданам</v>
      </c>
      <c r="C545" s="498"/>
      <c r="D545" s="498"/>
      <c r="E545" s="498"/>
      <c r="F545" s="498"/>
      <c r="G545" s="498"/>
      <c r="H545" s="498"/>
      <c r="I545" s="498"/>
      <c r="J545" s="498"/>
      <c r="K545" s="498"/>
      <c r="L545" s="499"/>
      <c r="M545" s="242">
        <f>+'11'!O173</f>
        <v>10</v>
      </c>
      <c r="N545" s="242">
        <f>+'11'!P173</f>
        <v>4</v>
      </c>
      <c r="O545" s="242" t="str">
        <f>+'11'!Q173</f>
        <v>012Р150840</v>
      </c>
      <c r="P545" s="242" t="str">
        <f>+'11'!R173</f>
        <v>310</v>
      </c>
      <c r="Q545" s="500"/>
      <c r="R545" s="501"/>
      <c r="S545" s="245">
        <v>20252.8</v>
      </c>
      <c r="T545" s="246">
        <v>0</v>
      </c>
      <c r="U545" s="164">
        <f>+'11'!U173</f>
        <v>0</v>
      </c>
      <c r="V545" s="164">
        <f>+V546</f>
        <v>184.80426</v>
      </c>
      <c r="W545" s="273" t="e">
        <f t="shared" si="15"/>
        <v>#DIV/0!</v>
      </c>
    </row>
    <row r="546" spans="1:23" ht="21.75" customHeight="1" x14ac:dyDescent="0.2">
      <c r="A546" s="78"/>
      <c r="B546" s="498" t="str">
        <f>+'11'!B174:M174</f>
        <v>Пособия, компенсации, меры социальной поддержки по публичным нормативным обязательствам</v>
      </c>
      <c r="C546" s="498"/>
      <c r="D546" s="498"/>
      <c r="E546" s="498"/>
      <c r="F546" s="498"/>
      <c r="G546" s="498"/>
      <c r="H546" s="498"/>
      <c r="I546" s="498"/>
      <c r="J546" s="498"/>
      <c r="K546" s="498"/>
      <c r="L546" s="499"/>
      <c r="M546" s="242">
        <f>+'11'!O174</f>
        <v>10</v>
      </c>
      <c r="N546" s="242">
        <f>+'11'!P174</f>
        <v>4</v>
      </c>
      <c r="O546" s="242" t="str">
        <f>+'11'!Q174</f>
        <v>012Р150840</v>
      </c>
      <c r="P546" s="242" t="str">
        <f>+'11'!R174</f>
        <v>313</v>
      </c>
      <c r="Q546" s="500"/>
      <c r="R546" s="501"/>
      <c r="S546" s="245">
        <v>20252.8</v>
      </c>
      <c r="T546" s="246">
        <v>0</v>
      </c>
      <c r="U546" s="164">
        <f>+'11'!U174</f>
        <v>0</v>
      </c>
      <c r="V546" s="164">
        <f>+'11'!AG174</f>
        <v>184.80426</v>
      </c>
      <c r="W546" s="273" t="e">
        <f t="shared" si="15"/>
        <v>#DIV/0!</v>
      </c>
    </row>
    <row r="547" spans="1:23" ht="84.75" customHeight="1" x14ac:dyDescent="0.2">
      <c r="A547" s="78"/>
      <c r="B547" s="498" t="s">
        <v>483</v>
      </c>
      <c r="C547" s="498"/>
      <c r="D547" s="498"/>
      <c r="E547" s="498"/>
      <c r="F547" s="498"/>
      <c r="G547" s="498"/>
      <c r="H547" s="498"/>
      <c r="I547" s="498"/>
      <c r="J547" s="498"/>
      <c r="K547" s="498"/>
      <c r="L547" s="499"/>
      <c r="M547" s="242">
        <v>10</v>
      </c>
      <c r="N547" s="242">
        <v>4</v>
      </c>
      <c r="O547" s="243" t="s">
        <v>484</v>
      </c>
      <c r="P547" s="244">
        <v>0</v>
      </c>
      <c r="Q547" s="500"/>
      <c r="R547" s="501"/>
      <c r="S547" s="245">
        <v>20252.8</v>
      </c>
      <c r="T547" s="246">
        <v>0</v>
      </c>
      <c r="U547" s="164">
        <v>20252.8</v>
      </c>
      <c r="V547" s="273">
        <f>+V548</f>
        <v>4531.9534199999998</v>
      </c>
      <c r="W547" s="273">
        <f t="shared" si="14"/>
        <v>22.376922795860327</v>
      </c>
    </row>
    <row r="548" spans="1:23" ht="12.75" customHeight="1" x14ac:dyDescent="0.2">
      <c r="A548" s="78"/>
      <c r="B548" s="498" t="s">
        <v>46</v>
      </c>
      <c r="C548" s="498"/>
      <c r="D548" s="498"/>
      <c r="E548" s="498"/>
      <c r="F548" s="498"/>
      <c r="G548" s="498"/>
      <c r="H548" s="498"/>
      <c r="I548" s="498"/>
      <c r="J548" s="498"/>
      <c r="K548" s="498"/>
      <c r="L548" s="499"/>
      <c r="M548" s="242">
        <v>10</v>
      </c>
      <c r="N548" s="242">
        <v>4</v>
      </c>
      <c r="O548" s="243" t="s">
        <v>484</v>
      </c>
      <c r="P548" s="244" t="s">
        <v>43</v>
      </c>
      <c r="Q548" s="500"/>
      <c r="R548" s="501"/>
      <c r="S548" s="245">
        <v>20252.8</v>
      </c>
      <c r="T548" s="246">
        <v>0</v>
      </c>
      <c r="U548" s="164">
        <v>20252.8</v>
      </c>
      <c r="V548" s="273">
        <f>+V549</f>
        <v>4531.9534199999998</v>
      </c>
      <c r="W548" s="273">
        <f t="shared" si="14"/>
        <v>22.376922795860327</v>
      </c>
    </row>
    <row r="549" spans="1:23" ht="12.75" customHeight="1" x14ac:dyDescent="0.2">
      <c r="A549" s="78"/>
      <c r="B549" s="498" t="s">
        <v>47</v>
      </c>
      <c r="C549" s="498"/>
      <c r="D549" s="498"/>
      <c r="E549" s="498"/>
      <c r="F549" s="498"/>
      <c r="G549" s="498"/>
      <c r="H549" s="498"/>
      <c r="I549" s="498"/>
      <c r="J549" s="498"/>
      <c r="K549" s="498"/>
      <c r="L549" s="499"/>
      <c r="M549" s="242">
        <v>10</v>
      </c>
      <c r="N549" s="242">
        <v>4</v>
      </c>
      <c r="O549" s="243" t="s">
        <v>484</v>
      </c>
      <c r="P549" s="244" t="s">
        <v>44</v>
      </c>
      <c r="Q549" s="500"/>
      <c r="R549" s="501"/>
      <c r="S549" s="245">
        <v>20252.8</v>
      </c>
      <c r="T549" s="246">
        <v>0</v>
      </c>
      <c r="U549" s="164">
        <v>20252.8</v>
      </c>
      <c r="V549" s="273">
        <f>+V550</f>
        <v>4531.9534199999998</v>
      </c>
      <c r="W549" s="273">
        <f t="shared" si="14"/>
        <v>22.376922795860327</v>
      </c>
    </row>
    <row r="550" spans="1:23" ht="21.75" customHeight="1" x14ac:dyDescent="0.2">
      <c r="A550" s="78"/>
      <c r="B550" s="498" t="s">
        <v>476</v>
      </c>
      <c r="C550" s="498"/>
      <c r="D550" s="498"/>
      <c r="E550" s="498"/>
      <c r="F550" s="498"/>
      <c r="G550" s="498"/>
      <c r="H550" s="498"/>
      <c r="I550" s="498"/>
      <c r="J550" s="498"/>
      <c r="K550" s="498"/>
      <c r="L550" s="499"/>
      <c r="M550" s="242">
        <v>10</v>
      </c>
      <c r="N550" s="242">
        <v>4</v>
      </c>
      <c r="O550" s="243" t="s">
        <v>484</v>
      </c>
      <c r="P550" s="244" t="s">
        <v>48</v>
      </c>
      <c r="Q550" s="500"/>
      <c r="R550" s="501"/>
      <c r="S550" s="245">
        <v>20252.8</v>
      </c>
      <c r="T550" s="246">
        <v>0</v>
      </c>
      <c r="U550" s="164">
        <v>20252.8</v>
      </c>
      <c r="V550" s="273">
        <f>+'11'!AG178</f>
        <v>4531.9534199999998</v>
      </c>
      <c r="W550" s="273">
        <f t="shared" si="14"/>
        <v>22.376922795860327</v>
      </c>
    </row>
    <row r="551" spans="1:23" ht="21.75" customHeight="1" x14ac:dyDescent="0.2">
      <c r="A551" s="78"/>
      <c r="B551" s="498" t="s">
        <v>155</v>
      </c>
      <c r="C551" s="498"/>
      <c r="D551" s="498"/>
      <c r="E551" s="498"/>
      <c r="F551" s="498"/>
      <c r="G551" s="498"/>
      <c r="H551" s="498"/>
      <c r="I551" s="498"/>
      <c r="J551" s="498"/>
      <c r="K551" s="498"/>
      <c r="L551" s="499"/>
      <c r="M551" s="242">
        <v>10</v>
      </c>
      <c r="N551" s="242">
        <v>4</v>
      </c>
      <c r="O551" s="243" t="s">
        <v>473</v>
      </c>
      <c r="P551" s="244">
        <v>0</v>
      </c>
      <c r="Q551" s="500"/>
      <c r="R551" s="501"/>
      <c r="S551" s="245">
        <v>12658.1</v>
      </c>
      <c r="T551" s="246">
        <v>0</v>
      </c>
      <c r="U551" s="164">
        <v>12658.1</v>
      </c>
      <c r="V551" s="273">
        <f>+V552</f>
        <v>3190.9169999999999</v>
      </c>
      <c r="W551" s="273">
        <f t="shared" si="14"/>
        <v>25.208498905838951</v>
      </c>
    </row>
    <row r="552" spans="1:23" ht="12.75" customHeight="1" x14ac:dyDescent="0.2">
      <c r="A552" s="78"/>
      <c r="B552" s="498" t="s">
        <v>53</v>
      </c>
      <c r="C552" s="498"/>
      <c r="D552" s="498"/>
      <c r="E552" s="498"/>
      <c r="F552" s="498"/>
      <c r="G552" s="498"/>
      <c r="H552" s="498"/>
      <c r="I552" s="498"/>
      <c r="J552" s="498"/>
      <c r="K552" s="498"/>
      <c r="L552" s="499"/>
      <c r="M552" s="242">
        <v>10</v>
      </c>
      <c r="N552" s="242">
        <v>4</v>
      </c>
      <c r="O552" s="243" t="s">
        <v>481</v>
      </c>
      <c r="P552" s="244">
        <v>0</v>
      </c>
      <c r="Q552" s="500"/>
      <c r="R552" s="501"/>
      <c r="S552" s="245">
        <v>12658.1</v>
      </c>
      <c r="T552" s="246">
        <v>0</v>
      </c>
      <c r="U552" s="164">
        <v>12658.1</v>
      </c>
      <c r="V552" s="273">
        <f>+V553</f>
        <v>3190.9169999999999</v>
      </c>
      <c r="W552" s="273">
        <f t="shared" si="14"/>
        <v>25.208498905838951</v>
      </c>
    </row>
    <row r="553" spans="1:23" ht="21.75" customHeight="1" x14ac:dyDescent="0.2">
      <c r="A553" s="78"/>
      <c r="B553" s="498" t="s">
        <v>576</v>
      </c>
      <c r="C553" s="498"/>
      <c r="D553" s="498"/>
      <c r="E553" s="498"/>
      <c r="F553" s="498"/>
      <c r="G553" s="498"/>
      <c r="H553" s="498"/>
      <c r="I553" s="498"/>
      <c r="J553" s="498"/>
      <c r="K553" s="498"/>
      <c r="L553" s="499"/>
      <c r="M553" s="242">
        <v>10</v>
      </c>
      <c r="N553" s="242">
        <v>4</v>
      </c>
      <c r="O553" s="243" t="s">
        <v>577</v>
      </c>
      <c r="P553" s="244">
        <v>0</v>
      </c>
      <c r="Q553" s="500"/>
      <c r="R553" s="501"/>
      <c r="S553" s="245">
        <v>12658.1</v>
      </c>
      <c r="T553" s="246">
        <v>0</v>
      </c>
      <c r="U553" s="164">
        <v>12658.1</v>
      </c>
      <c r="V553" s="273">
        <f>+V554</f>
        <v>3190.9169999999999</v>
      </c>
      <c r="W553" s="273">
        <f t="shared" si="14"/>
        <v>25.208498905838951</v>
      </c>
    </row>
    <row r="554" spans="1:23" ht="12.75" customHeight="1" x14ac:dyDescent="0.2">
      <c r="A554" s="78"/>
      <c r="B554" s="498" t="s">
        <v>46</v>
      </c>
      <c r="C554" s="498"/>
      <c r="D554" s="498"/>
      <c r="E554" s="498"/>
      <c r="F554" s="498"/>
      <c r="G554" s="498"/>
      <c r="H554" s="498"/>
      <c r="I554" s="498"/>
      <c r="J554" s="498"/>
      <c r="K554" s="498"/>
      <c r="L554" s="499"/>
      <c r="M554" s="242">
        <v>10</v>
      </c>
      <c r="N554" s="242">
        <v>4</v>
      </c>
      <c r="O554" s="243" t="s">
        <v>577</v>
      </c>
      <c r="P554" s="244" t="s">
        <v>43</v>
      </c>
      <c r="Q554" s="500"/>
      <c r="R554" s="501"/>
      <c r="S554" s="245">
        <v>12658.1</v>
      </c>
      <c r="T554" s="246">
        <v>0</v>
      </c>
      <c r="U554" s="164">
        <v>12658.1</v>
      </c>
      <c r="V554" s="273">
        <f>+V555</f>
        <v>3190.9169999999999</v>
      </c>
      <c r="W554" s="273">
        <f t="shared" si="14"/>
        <v>25.208498905838951</v>
      </c>
    </row>
    <row r="555" spans="1:23" ht="12.75" customHeight="1" x14ac:dyDescent="0.2">
      <c r="A555" s="78"/>
      <c r="B555" s="498" t="s">
        <v>47</v>
      </c>
      <c r="C555" s="498"/>
      <c r="D555" s="498"/>
      <c r="E555" s="498"/>
      <c r="F555" s="498"/>
      <c r="G555" s="498"/>
      <c r="H555" s="498"/>
      <c r="I555" s="498"/>
      <c r="J555" s="498"/>
      <c r="K555" s="498"/>
      <c r="L555" s="499"/>
      <c r="M555" s="242">
        <v>10</v>
      </c>
      <c r="N555" s="242">
        <v>4</v>
      </c>
      <c r="O555" s="243" t="s">
        <v>577</v>
      </c>
      <c r="P555" s="244" t="s">
        <v>44</v>
      </c>
      <c r="Q555" s="500"/>
      <c r="R555" s="501"/>
      <c r="S555" s="245">
        <v>12658.1</v>
      </c>
      <c r="T555" s="246">
        <v>0</v>
      </c>
      <c r="U555" s="164">
        <v>12658.1</v>
      </c>
      <c r="V555" s="273">
        <f>+V556</f>
        <v>3190.9169999999999</v>
      </c>
      <c r="W555" s="273">
        <f t="shared" si="14"/>
        <v>25.208498905838951</v>
      </c>
    </row>
    <row r="556" spans="1:23" ht="21.75" customHeight="1" x14ac:dyDescent="0.2">
      <c r="A556" s="78"/>
      <c r="B556" s="498" t="s">
        <v>476</v>
      </c>
      <c r="C556" s="498"/>
      <c r="D556" s="498"/>
      <c r="E556" s="498"/>
      <c r="F556" s="498"/>
      <c r="G556" s="498"/>
      <c r="H556" s="498"/>
      <c r="I556" s="498"/>
      <c r="J556" s="498"/>
      <c r="K556" s="498"/>
      <c r="L556" s="499"/>
      <c r="M556" s="242">
        <v>10</v>
      </c>
      <c r="N556" s="242">
        <v>4</v>
      </c>
      <c r="O556" s="243" t="s">
        <v>577</v>
      </c>
      <c r="P556" s="244" t="s">
        <v>48</v>
      </c>
      <c r="Q556" s="500"/>
      <c r="R556" s="501"/>
      <c r="S556" s="245">
        <v>12658.1</v>
      </c>
      <c r="T556" s="246">
        <v>0</v>
      </c>
      <c r="U556" s="164">
        <v>12658.1</v>
      </c>
      <c r="V556" s="273">
        <f>+'11'!AG184</f>
        <v>3190.9169999999999</v>
      </c>
      <c r="W556" s="273">
        <f t="shared" si="14"/>
        <v>25.208498905838951</v>
      </c>
    </row>
    <row r="557" spans="1:23" ht="21.75" customHeight="1" x14ac:dyDescent="0.2">
      <c r="A557" s="78"/>
      <c r="B557" s="498" t="s">
        <v>431</v>
      </c>
      <c r="C557" s="498"/>
      <c r="D557" s="498"/>
      <c r="E557" s="498"/>
      <c r="F557" s="498"/>
      <c r="G557" s="498"/>
      <c r="H557" s="498"/>
      <c r="I557" s="498"/>
      <c r="J557" s="498"/>
      <c r="K557" s="498"/>
      <c r="L557" s="499"/>
      <c r="M557" s="242">
        <v>10</v>
      </c>
      <c r="N557" s="242">
        <v>4</v>
      </c>
      <c r="O557" s="243" t="s">
        <v>432</v>
      </c>
      <c r="P557" s="244">
        <v>0</v>
      </c>
      <c r="Q557" s="500"/>
      <c r="R557" s="501"/>
      <c r="S557" s="245">
        <v>3701.2</v>
      </c>
      <c r="T557" s="246">
        <v>0</v>
      </c>
      <c r="U557" s="164">
        <v>3701.2</v>
      </c>
      <c r="V557" s="273">
        <f>+V558</f>
        <v>779.09100000000001</v>
      </c>
      <c r="W557" s="273">
        <f t="shared" si="14"/>
        <v>21.049686588133579</v>
      </c>
    </row>
    <row r="558" spans="1:23" ht="12.75" customHeight="1" x14ac:dyDescent="0.2">
      <c r="A558" s="78"/>
      <c r="B558" s="498" t="s">
        <v>433</v>
      </c>
      <c r="C558" s="498"/>
      <c r="D558" s="498"/>
      <c r="E558" s="498"/>
      <c r="F558" s="498"/>
      <c r="G558" s="498"/>
      <c r="H558" s="498"/>
      <c r="I558" s="498"/>
      <c r="J558" s="498"/>
      <c r="K558" s="498"/>
      <c r="L558" s="499"/>
      <c r="M558" s="242">
        <v>10</v>
      </c>
      <c r="N558" s="242">
        <v>4</v>
      </c>
      <c r="O558" s="243" t="s">
        <v>434</v>
      </c>
      <c r="P558" s="244">
        <v>0</v>
      </c>
      <c r="Q558" s="500"/>
      <c r="R558" s="501"/>
      <c r="S558" s="245">
        <v>3701.2</v>
      </c>
      <c r="T558" s="246">
        <v>0</v>
      </c>
      <c r="U558" s="164">
        <v>3701.2</v>
      </c>
      <c r="V558" s="273">
        <f>+V559</f>
        <v>779.09100000000001</v>
      </c>
      <c r="W558" s="273">
        <f t="shared" si="14"/>
        <v>21.049686588133579</v>
      </c>
    </row>
    <row r="559" spans="1:23" ht="53.25" customHeight="1" x14ac:dyDescent="0.2">
      <c r="A559" s="78"/>
      <c r="B559" s="498" t="s">
        <v>76</v>
      </c>
      <c r="C559" s="498"/>
      <c r="D559" s="498"/>
      <c r="E559" s="498"/>
      <c r="F559" s="498"/>
      <c r="G559" s="498"/>
      <c r="H559" s="498"/>
      <c r="I559" s="498"/>
      <c r="J559" s="498"/>
      <c r="K559" s="498"/>
      <c r="L559" s="499"/>
      <c r="M559" s="242">
        <v>10</v>
      </c>
      <c r="N559" s="242">
        <v>4</v>
      </c>
      <c r="O559" s="243" t="s">
        <v>503</v>
      </c>
      <c r="P559" s="244">
        <v>0</v>
      </c>
      <c r="Q559" s="500"/>
      <c r="R559" s="501"/>
      <c r="S559" s="245">
        <v>3701.2</v>
      </c>
      <c r="T559" s="246">
        <v>0</v>
      </c>
      <c r="U559" s="164">
        <v>3701.2</v>
      </c>
      <c r="V559" s="273">
        <f>+V560</f>
        <v>779.09100000000001</v>
      </c>
      <c r="W559" s="273">
        <f t="shared" si="14"/>
        <v>21.049686588133579</v>
      </c>
    </row>
    <row r="560" spans="1:23" ht="12.75" customHeight="1" x14ac:dyDescent="0.2">
      <c r="A560" s="78"/>
      <c r="B560" s="498" t="s">
        <v>46</v>
      </c>
      <c r="C560" s="498"/>
      <c r="D560" s="498"/>
      <c r="E560" s="498"/>
      <c r="F560" s="498"/>
      <c r="G560" s="498"/>
      <c r="H560" s="498"/>
      <c r="I560" s="498"/>
      <c r="J560" s="498"/>
      <c r="K560" s="498"/>
      <c r="L560" s="499"/>
      <c r="M560" s="242">
        <v>10</v>
      </c>
      <c r="N560" s="242">
        <v>4</v>
      </c>
      <c r="O560" s="243" t="s">
        <v>503</v>
      </c>
      <c r="P560" s="244" t="s">
        <v>43</v>
      </c>
      <c r="Q560" s="500"/>
      <c r="R560" s="501"/>
      <c r="S560" s="245">
        <v>3701.2</v>
      </c>
      <c r="T560" s="246">
        <v>0</v>
      </c>
      <c r="U560" s="164">
        <v>3701.2</v>
      </c>
      <c r="V560" s="273">
        <f>+V561</f>
        <v>779.09100000000001</v>
      </c>
      <c r="W560" s="273">
        <f t="shared" si="14"/>
        <v>21.049686588133579</v>
      </c>
    </row>
    <row r="561" spans="1:23" ht="12.75" customHeight="1" x14ac:dyDescent="0.2">
      <c r="A561" s="78"/>
      <c r="B561" s="498" t="s">
        <v>47</v>
      </c>
      <c r="C561" s="498"/>
      <c r="D561" s="498"/>
      <c r="E561" s="498"/>
      <c r="F561" s="498"/>
      <c r="G561" s="498"/>
      <c r="H561" s="498"/>
      <c r="I561" s="498"/>
      <c r="J561" s="498"/>
      <c r="K561" s="498"/>
      <c r="L561" s="499"/>
      <c r="M561" s="242">
        <v>10</v>
      </c>
      <c r="N561" s="242">
        <v>4</v>
      </c>
      <c r="O561" s="243" t="s">
        <v>503</v>
      </c>
      <c r="P561" s="244" t="s">
        <v>44</v>
      </c>
      <c r="Q561" s="500"/>
      <c r="R561" s="501"/>
      <c r="S561" s="245">
        <v>3701.2</v>
      </c>
      <c r="T561" s="246">
        <v>0</v>
      </c>
      <c r="U561" s="164">
        <v>3701.2</v>
      </c>
      <c r="V561" s="273">
        <f>+V562</f>
        <v>779.09100000000001</v>
      </c>
      <c r="W561" s="273">
        <f t="shared" si="14"/>
        <v>21.049686588133579</v>
      </c>
    </row>
    <row r="562" spans="1:23" ht="21.75" customHeight="1" x14ac:dyDescent="0.2">
      <c r="A562" s="78"/>
      <c r="B562" s="498" t="s">
        <v>476</v>
      </c>
      <c r="C562" s="498"/>
      <c r="D562" s="498"/>
      <c r="E562" s="498"/>
      <c r="F562" s="498"/>
      <c r="G562" s="498"/>
      <c r="H562" s="498"/>
      <c r="I562" s="498"/>
      <c r="J562" s="498"/>
      <c r="K562" s="498"/>
      <c r="L562" s="499"/>
      <c r="M562" s="242">
        <v>10</v>
      </c>
      <c r="N562" s="242">
        <v>4</v>
      </c>
      <c r="O562" s="243" t="s">
        <v>503</v>
      </c>
      <c r="P562" s="244" t="s">
        <v>48</v>
      </c>
      <c r="Q562" s="500"/>
      <c r="R562" s="501"/>
      <c r="S562" s="245">
        <v>3701.2</v>
      </c>
      <c r="T562" s="246">
        <v>0</v>
      </c>
      <c r="U562" s="164">
        <v>3701.2</v>
      </c>
      <c r="V562" s="273">
        <f>+'11'!AG328</f>
        <v>779.09100000000001</v>
      </c>
      <c r="W562" s="273">
        <f t="shared" si="14"/>
        <v>21.049686588133579</v>
      </c>
    </row>
    <row r="563" spans="1:23" ht="12.75" customHeight="1" x14ac:dyDescent="0.25">
      <c r="A563" s="78"/>
      <c r="B563" s="502" t="s">
        <v>57</v>
      </c>
      <c r="C563" s="502"/>
      <c r="D563" s="502"/>
      <c r="E563" s="502"/>
      <c r="F563" s="502"/>
      <c r="G563" s="502"/>
      <c r="H563" s="502"/>
      <c r="I563" s="502"/>
      <c r="J563" s="502"/>
      <c r="K563" s="502"/>
      <c r="L563" s="503"/>
      <c r="M563" s="237">
        <v>10</v>
      </c>
      <c r="N563" s="237">
        <v>6</v>
      </c>
      <c r="O563" s="238">
        <v>0</v>
      </c>
      <c r="P563" s="239">
        <v>0</v>
      </c>
      <c r="Q563" s="504"/>
      <c r="R563" s="505"/>
      <c r="S563" s="240">
        <v>4072.4839999999999</v>
      </c>
      <c r="T563" s="241">
        <v>0</v>
      </c>
      <c r="U563" s="274">
        <v>4072.4839999999999</v>
      </c>
      <c r="V563" s="273">
        <f>+V564+V575</f>
        <v>862.2517499999999</v>
      </c>
      <c r="W563" s="273">
        <f t="shared" si="14"/>
        <v>21.172624619274131</v>
      </c>
    </row>
    <row r="564" spans="1:23" ht="21.75" customHeight="1" x14ac:dyDescent="0.2">
      <c r="A564" s="78"/>
      <c r="B564" s="498" t="s">
        <v>155</v>
      </c>
      <c r="C564" s="498"/>
      <c r="D564" s="498"/>
      <c r="E564" s="498"/>
      <c r="F564" s="498"/>
      <c r="G564" s="498"/>
      <c r="H564" s="498"/>
      <c r="I564" s="498"/>
      <c r="J564" s="498"/>
      <c r="K564" s="498"/>
      <c r="L564" s="499"/>
      <c r="M564" s="242">
        <v>10</v>
      </c>
      <c r="N564" s="242">
        <v>6</v>
      </c>
      <c r="O564" s="243" t="s">
        <v>473</v>
      </c>
      <c r="P564" s="244">
        <v>0</v>
      </c>
      <c r="Q564" s="500"/>
      <c r="R564" s="501"/>
      <c r="S564" s="245">
        <v>3641.2840000000001</v>
      </c>
      <c r="T564" s="246">
        <v>0</v>
      </c>
      <c r="U564" s="164">
        <v>3641.2840000000001</v>
      </c>
      <c r="V564" s="273">
        <f>+V565</f>
        <v>767.55328999999995</v>
      </c>
      <c r="W564" s="273">
        <f t="shared" si="14"/>
        <v>21.079193218655835</v>
      </c>
    </row>
    <row r="565" spans="1:23" ht="21.75" customHeight="1" x14ac:dyDescent="0.2">
      <c r="A565" s="78"/>
      <c r="B565" s="498" t="s">
        <v>58</v>
      </c>
      <c r="C565" s="498"/>
      <c r="D565" s="498"/>
      <c r="E565" s="498"/>
      <c r="F565" s="498"/>
      <c r="G565" s="498"/>
      <c r="H565" s="498"/>
      <c r="I565" s="498"/>
      <c r="J565" s="498"/>
      <c r="K565" s="498"/>
      <c r="L565" s="499"/>
      <c r="M565" s="242">
        <v>10</v>
      </c>
      <c r="N565" s="242">
        <v>6</v>
      </c>
      <c r="O565" s="243" t="s">
        <v>504</v>
      </c>
      <c r="P565" s="244">
        <v>0</v>
      </c>
      <c r="Q565" s="500"/>
      <c r="R565" s="501"/>
      <c r="S565" s="245">
        <v>3641.2840000000001</v>
      </c>
      <c r="T565" s="246">
        <v>0</v>
      </c>
      <c r="U565" s="164">
        <v>3641.2840000000001</v>
      </c>
      <c r="V565" s="273">
        <f>+V566</f>
        <v>767.55328999999995</v>
      </c>
      <c r="W565" s="273">
        <f t="shared" si="14"/>
        <v>21.079193218655835</v>
      </c>
    </row>
    <row r="566" spans="1:23" ht="21.75" customHeight="1" x14ac:dyDescent="0.2">
      <c r="A566" s="78"/>
      <c r="B566" s="498" t="s">
        <v>59</v>
      </c>
      <c r="C566" s="498"/>
      <c r="D566" s="498"/>
      <c r="E566" s="498"/>
      <c r="F566" s="498"/>
      <c r="G566" s="498"/>
      <c r="H566" s="498"/>
      <c r="I566" s="498"/>
      <c r="J566" s="498"/>
      <c r="K566" s="498"/>
      <c r="L566" s="499"/>
      <c r="M566" s="242">
        <v>10</v>
      </c>
      <c r="N566" s="242">
        <v>6</v>
      </c>
      <c r="O566" s="243" t="s">
        <v>505</v>
      </c>
      <c r="P566" s="244">
        <v>0</v>
      </c>
      <c r="Q566" s="500"/>
      <c r="R566" s="501"/>
      <c r="S566" s="245">
        <v>3641.2840000000001</v>
      </c>
      <c r="T566" s="246">
        <v>0</v>
      </c>
      <c r="U566" s="164">
        <v>3641.2840000000001</v>
      </c>
      <c r="V566" s="273">
        <f>+V567+V571</f>
        <v>767.55328999999995</v>
      </c>
      <c r="W566" s="273">
        <f t="shared" si="14"/>
        <v>21.079193218655835</v>
      </c>
    </row>
    <row r="567" spans="1:23" ht="53.25" customHeight="1" x14ac:dyDescent="0.2">
      <c r="A567" s="78"/>
      <c r="B567" s="498" t="s">
        <v>17</v>
      </c>
      <c r="C567" s="498"/>
      <c r="D567" s="498"/>
      <c r="E567" s="498"/>
      <c r="F567" s="498"/>
      <c r="G567" s="498"/>
      <c r="H567" s="498"/>
      <c r="I567" s="498"/>
      <c r="J567" s="498"/>
      <c r="K567" s="498"/>
      <c r="L567" s="499"/>
      <c r="M567" s="242">
        <v>10</v>
      </c>
      <c r="N567" s="242">
        <v>6</v>
      </c>
      <c r="O567" s="243" t="s">
        <v>505</v>
      </c>
      <c r="P567" s="244" t="s">
        <v>18</v>
      </c>
      <c r="Q567" s="500"/>
      <c r="R567" s="501"/>
      <c r="S567" s="245">
        <v>3397.4769999999999</v>
      </c>
      <c r="T567" s="246">
        <v>0</v>
      </c>
      <c r="U567" s="164">
        <v>3397.4769999999999</v>
      </c>
      <c r="V567" s="273">
        <f>+V568</f>
        <v>732.65519999999992</v>
      </c>
      <c r="W567" s="273">
        <f t="shared" si="14"/>
        <v>21.564684617438175</v>
      </c>
    </row>
    <row r="568" spans="1:23" ht="21.75" customHeight="1" x14ac:dyDescent="0.2">
      <c r="A568" s="78"/>
      <c r="B568" s="498" t="s">
        <v>37</v>
      </c>
      <c r="C568" s="498"/>
      <c r="D568" s="498"/>
      <c r="E568" s="498"/>
      <c r="F568" s="498"/>
      <c r="G568" s="498"/>
      <c r="H568" s="498"/>
      <c r="I568" s="498"/>
      <c r="J568" s="498"/>
      <c r="K568" s="498"/>
      <c r="L568" s="499"/>
      <c r="M568" s="242">
        <v>10</v>
      </c>
      <c r="N568" s="242">
        <v>6</v>
      </c>
      <c r="O568" s="243" t="s">
        <v>505</v>
      </c>
      <c r="P568" s="244" t="s">
        <v>38</v>
      </c>
      <c r="Q568" s="500"/>
      <c r="R568" s="501"/>
      <c r="S568" s="245">
        <v>3397.4769999999999</v>
      </c>
      <c r="T568" s="246">
        <v>0</v>
      </c>
      <c r="U568" s="164">
        <v>3397.4769999999999</v>
      </c>
      <c r="V568" s="273">
        <f>+V569+V570</f>
        <v>732.65519999999992</v>
      </c>
      <c r="W568" s="273">
        <f t="shared" si="14"/>
        <v>21.564684617438175</v>
      </c>
    </row>
    <row r="569" spans="1:23" ht="21.75" customHeight="1" x14ac:dyDescent="0.2">
      <c r="A569" s="78"/>
      <c r="B569" s="498" t="s">
        <v>333</v>
      </c>
      <c r="C569" s="498"/>
      <c r="D569" s="498"/>
      <c r="E569" s="498"/>
      <c r="F569" s="498"/>
      <c r="G569" s="498"/>
      <c r="H569" s="498"/>
      <c r="I569" s="498"/>
      <c r="J569" s="498"/>
      <c r="K569" s="498"/>
      <c r="L569" s="499"/>
      <c r="M569" s="242">
        <v>10</v>
      </c>
      <c r="N569" s="242">
        <v>6</v>
      </c>
      <c r="O569" s="243" t="s">
        <v>505</v>
      </c>
      <c r="P569" s="244" t="s">
        <v>39</v>
      </c>
      <c r="Q569" s="500"/>
      <c r="R569" s="501"/>
      <c r="S569" s="245">
        <v>2609.4290000000001</v>
      </c>
      <c r="T569" s="246">
        <v>0</v>
      </c>
      <c r="U569" s="164">
        <v>2609.4290000000001</v>
      </c>
      <c r="V569" s="273">
        <f>+'11'!AG191</f>
        <v>562.71520999999996</v>
      </c>
      <c r="W569" s="273">
        <f t="shared" si="14"/>
        <v>21.564687523592323</v>
      </c>
    </row>
    <row r="570" spans="1:23" ht="32.25" customHeight="1" x14ac:dyDescent="0.2">
      <c r="A570" s="78"/>
      <c r="B570" s="498" t="s">
        <v>334</v>
      </c>
      <c r="C570" s="498"/>
      <c r="D570" s="498"/>
      <c r="E570" s="498"/>
      <c r="F570" s="498"/>
      <c r="G570" s="498"/>
      <c r="H570" s="498"/>
      <c r="I570" s="498"/>
      <c r="J570" s="498"/>
      <c r="K570" s="498"/>
      <c r="L570" s="499"/>
      <c r="M570" s="242">
        <v>10</v>
      </c>
      <c r="N570" s="242">
        <v>6</v>
      </c>
      <c r="O570" s="243" t="s">
        <v>505</v>
      </c>
      <c r="P570" s="244" t="s">
        <v>41</v>
      </c>
      <c r="Q570" s="500"/>
      <c r="R570" s="501"/>
      <c r="S570" s="245">
        <v>788.048</v>
      </c>
      <c r="T570" s="246">
        <v>0</v>
      </c>
      <c r="U570" s="164">
        <v>788.048</v>
      </c>
      <c r="V570" s="273">
        <f>+'11'!AG192</f>
        <v>169.93998999999999</v>
      </c>
      <c r="W570" s="273">
        <f t="shared" si="14"/>
        <v>21.564674994416581</v>
      </c>
    </row>
    <row r="571" spans="1:23" ht="21.75" customHeight="1" x14ac:dyDescent="0.2">
      <c r="A571" s="78"/>
      <c r="B571" s="498" t="s">
        <v>345</v>
      </c>
      <c r="C571" s="498"/>
      <c r="D571" s="498"/>
      <c r="E571" s="498"/>
      <c r="F571" s="498"/>
      <c r="G571" s="498"/>
      <c r="H571" s="498"/>
      <c r="I571" s="498"/>
      <c r="J571" s="498"/>
      <c r="K571" s="498"/>
      <c r="L571" s="499"/>
      <c r="M571" s="242">
        <v>10</v>
      </c>
      <c r="N571" s="242">
        <v>6</v>
      </c>
      <c r="O571" s="243" t="s">
        <v>505</v>
      </c>
      <c r="P571" s="244" t="s">
        <v>24</v>
      </c>
      <c r="Q571" s="500"/>
      <c r="R571" s="501"/>
      <c r="S571" s="245">
        <v>243.80699999999999</v>
      </c>
      <c r="T571" s="246">
        <v>0</v>
      </c>
      <c r="U571" s="164">
        <v>243.80699999999999</v>
      </c>
      <c r="V571" s="273">
        <f>+V572</f>
        <v>34.898089999999996</v>
      </c>
      <c r="W571" s="273">
        <f t="shared" si="14"/>
        <v>14.313817896943073</v>
      </c>
    </row>
    <row r="572" spans="1:23" ht="21.75" customHeight="1" x14ac:dyDescent="0.2">
      <c r="A572" s="78"/>
      <c r="B572" s="498" t="s">
        <v>346</v>
      </c>
      <c r="C572" s="498"/>
      <c r="D572" s="498"/>
      <c r="E572" s="498"/>
      <c r="F572" s="498"/>
      <c r="G572" s="498"/>
      <c r="H572" s="498"/>
      <c r="I572" s="498"/>
      <c r="J572" s="498"/>
      <c r="K572" s="498"/>
      <c r="L572" s="499"/>
      <c r="M572" s="242">
        <v>10</v>
      </c>
      <c r="N572" s="242">
        <v>6</v>
      </c>
      <c r="O572" s="243" t="s">
        <v>505</v>
      </c>
      <c r="P572" s="244" t="s">
        <v>26</v>
      </c>
      <c r="Q572" s="500"/>
      <c r="R572" s="501"/>
      <c r="S572" s="245">
        <v>243.80699999999999</v>
      </c>
      <c r="T572" s="246">
        <v>0</v>
      </c>
      <c r="U572" s="164">
        <v>243.80699999999999</v>
      </c>
      <c r="V572" s="273">
        <f>+V573+V574</f>
        <v>34.898089999999996</v>
      </c>
      <c r="W572" s="273">
        <f t="shared" si="14"/>
        <v>14.313817896943073</v>
      </c>
    </row>
    <row r="573" spans="1:23" ht="21.75" customHeight="1" x14ac:dyDescent="0.2">
      <c r="A573" s="78"/>
      <c r="B573" s="498" t="s">
        <v>347</v>
      </c>
      <c r="C573" s="498"/>
      <c r="D573" s="498"/>
      <c r="E573" s="498"/>
      <c r="F573" s="498"/>
      <c r="G573" s="498"/>
      <c r="H573" s="498"/>
      <c r="I573" s="498"/>
      <c r="J573" s="498"/>
      <c r="K573" s="498"/>
      <c r="L573" s="499"/>
      <c r="M573" s="242">
        <v>10</v>
      </c>
      <c r="N573" s="242">
        <v>6</v>
      </c>
      <c r="O573" s="243" t="s">
        <v>505</v>
      </c>
      <c r="P573" s="244" t="s">
        <v>27</v>
      </c>
      <c r="Q573" s="500"/>
      <c r="R573" s="501"/>
      <c r="S573" s="245">
        <v>138.80699999999999</v>
      </c>
      <c r="T573" s="246">
        <v>0</v>
      </c>
      <c r="U573" s="164">
        <v>138.80699999999999</v>
      </c>
      <c r="V573" s="273">
        <f>+'11'!AG195</f>
        <v>19.39809</v>
      </c>
      <c r="W573" s="273">
        <f t="shared" si="14"/>
        <v>13.97486438003847</v>
      </c>
    </row>
    <row r="574" spans="1:23" ht="12.75" customHeight="1" x14ac:dyDescent="0.2">
      <c r="A574" s="78"/>
      <c r="B574" s="498" t="s">
        <v>348</v>
      </c>
      <c r="C574" s="498"/>
      <c r="D574" s="498"/>
      <c r="E574" s="498"/>
      <c r="F574" s="498"/>
      <c r="G574" s="498"/>
      <c r="H574" s="498"/>
      <c r="I574" s="498"/>
      <c r="J574" s="498"/>
      <c r="K574" s="498"/>
      <c r="L574" s="499"/>
      <c r="M574" s="242">
        <v>10</v>
      </c>
      <c r="N574" s="242">
        <v>6</v>
      </c>
      <c r="O574" s="243" t="s">
        <v>505</v>
      </c>
      <c r="P574" s="244" t="s">
        <v>28</v>
      </c>
      <c r="Q574" s="500"/>
      <c r="R574" s="501"/>
      <c r="S574" s="245">
        <v>105</v>
      </c>
      <c r="T574" s="246">
        <v>0</v>
      </c>
      <c r="U574" s="164">
        <v>105</v>
      </c>
      <c r="V574" s="273">
        <f>+'11'!AG196</f>
        <v>15.5</v>
      </c>
      <c r="W574" s="273">
        <f t="shared" si="14"/>
        <v>14.761904761904763</v>
      </c>
    </row>
    <row r="575" spans="1:23" ht="21.75" customHeight="1" x14ac:dyDescent="0.2">
      <c r="A575" s="78"/>
      <c r="B575" s="498" t="s">
        <v>155</v>
      </c>
      <c r="C575" s="498"/>
      <c r="D575" s="498"/>
      <c r="E575" s="498"/>
      <c r="F575" s="498"/>
      <c r="G575" s="498"/>
      <c r="H575" s="498"/>
      <c r="I575" s="498"/>
      <c r="J575" s="498"/>
      <c r="K575" s="498"/>
      <c r="L575" s="499"/>
      <c r="M575" s="242">
        <v>10</v>
      </c>
      <c r="N575" s="242">
        <v>6</v>
      </c>
      <c r="O575" s="243" t="s">
        <v>473</v>
      </c>
      <c r="P575" s="244">
        <v>0</v>
      </c>
      <c r="Q575" s="500"/>
      <c r="R575" s="501"/>
      <c r="S575" s="245">
        <v>431.2</v>
      </c>
      <c r="T575" s="246">
        <v>0</v>
      </c>
      <c r="U575" s="164">
        <v>431.2</v>
      </c>
      <c r="V575" s="273">
        <f>+V576</f>
        <v>94.698459999999997</v>
      </c>
      <c r="W575" s="273">
        <f t="shared" si="14"/>
        <v>21.961609461966606</v>
      </c>
    </row>
    <row r="576" spans="1:23" ht="21.75" customHeight="1" x14ac:dyDescent="0.2">
      <c r="A576" s="78"/>
      <c r="B576" s="498" t="s">
        <v>58</v>
      </c>
      <c r="C576" s="498"/>
      <c r="D576" s="498"/>
      <c r="E576" s="498"/>
      <c r="F576" s="498"/>
      <c r="G576" s="498"/>
      <c r="H576" s="498"/>
      <c r="I576" s="498"/>
      <c r="J576" s="498"/>
      <c r="K576" s="498"/>
      <c r="L576" s="499"/>
      <c r="M576" s="242">
        <v>10</v>
      </c>
      <c r="N576" s="242">
        <v>6</v>
      </c>
      <c r="O576" s="243" t="s">
        <v>504</v>
      </c>
      <c r="P576" s="244">
        <v>0</v>
      </c>
      <c r="Q576" s="500"/>
      <c r="R576" s="501"/>
      <c r="S576" s="245">
        <v>431.2</v>
      </c>
      <c r="T576" s="246">
        <v>0</v>
      </c>
      <c r="U576" s="164">
        <v>431.2</v>
      </c>
      <c r="V576" s="273">
        <f>+V577</f>
        <v>94.698459999999997</v>
      </c>
      <c r="W576" s="273">
        <f t="shared" si="14"/>
        <v>21.961609461966606</v>
      </c>
    </row>
    <row r="577" spans="1:23" ht="32.25" customHeight="1" x14ac:dyDescent="0.2">
      <c r="A577" s="78"/>
      <c r="B577" s="498" t="s">
        <v>60</v>
      </c>
      <c r="C577" s="498"/>
      <c r="D577" s="498"/>
      <c r="E577" s="498"/>
      <c r="F577" s="498"/>
      <c r="G577" s="498"/>
      <c r="H577" s="498"/>
      <c r="I577" s="498"/>
      <c r="J577" s="498"/>
      <c r="K577" s="498"/>
      <c r="L577" s="499"/>
      <c r="M577" s="242">
        <v>10</v>
      </c>
      <c r="N577" s="242">
        <v>6</v>
      </c>
      <c r="O577" s="243" t="s">
        <v>506</v>
      </c>
      <c r="P577" s="244">
        <v>0</v>
      </c>
      <c r="Q577" s="500"/>
      <c r="R577" s="501"/>
      <c r="S577" s="245">
        <v>431.2</v>
      </c>
      <c r="T577" s="246">
        <v>0</v>
      </c>
      <c r="U577" s="164">
        <v>431.2</v>
      </c>
      <c r="V577" s="273">
        <f>+V578</f>
        <v>94.698459999999997</v>
      </c>
      <c r="W577" s="273">
        <f t="shared" si="14"/>
        <v>21.961609461966606</v>
      </c>
    </row>
    <row r="578" spans="1:23" ht="21.75" customHeight="1" x14ac:dyDescent="0.2">
      <c r="A578" s="78"/>
      <c r="B578" s="498" t="s">
        <v>345</v>
      </c>
      <c r="C578" s="498"/>
      <c r="D578" s="498"/>
      <c r="E578" s="498"/>
      <c r="F578" s="498"/>
      <c r="G578" s="498"/>
      <c r="H578" s="498"/>
      <c r="I578" s="498"/>
      <c r="J578" s="498"/>
      <c r="K578" s="498"/>
      <c r="L578" s="499"/>
      <c r="M578" s="242">
        <v>10</v>
      </c>
      <c r="N578" s="242">
        <v>6</v>
      </c>
      <c r="O578" s="243" t="s">
        <v>506</v>
      </c>
      <c r="P578" s="244" t="s">
        <v>24</v>
      </c>
      <c r="Q578" s="500"/>
      <c r="R578" s="501"/>
      <c r="S578" s="245">
        <v>431.2</v>
      </c>
      <c r="T578" s="246">
        <v>0</v>
      </c>
      <c r="U578" s="164">
        <v>431.2</v>
      </c>
      <c r="V578" s="273">
        <f>+V579</f>
        <v>94.698459999999997</v>
      </c>
      <c r="W578" s="273">
        <f t="shared" si="14"/>
        <v>21.961609461966606</v>
      </c>
    </row>
    <row r="579" spans="1:23" ht="21.75" customHeight="1" x14ac:dyDescent="0.2">
      <c r="A579" s="78"/>
      <c r="B579" s="498" t="s">
        <v>346</v>
      </c>
      <c r="C579" s="498"/>
      <c r="D579" s="498"/>
      <c r="E579" s="498"/>
      <c r="F579" s="498"/>
      <c r="G579" s="498"/>
      <c r="H579" s="498"/>
      <c r="I579" s="498"/>
      <c r="J579" s="498"/>
      <c r="K579" s="498"/>
      <c r="L579" s="499"/>
      <c r="M579" s="242">
        <v>10</v>
      </c>
      <c r="N579" s="242">
        <v>6</v>
      </c>
      <c r="O579" s="243" t="s">
        <v>506</v>
      </c>
      <c r="P579" s="244" t="s">
        <v>26</v>
      </c>
      <c r="Q579" s="500"/>
      <c r="R579" s="501"/>
      <c r="S579" s="245">
        <v>431.2</v>
      </c>
      <c r="T579" s="246">
        <v>0</v>
      </c>
      <c r="U579" s="164">
        <v>431.2</v>
      </c>
      <c r="V579" s="273">
        <f>+V580+V581</f>
        <v>94.698459999999997</v>
      </c>
      <c r="W579" s="273">
        <f t="shared" si="14"/>
        <v>21.961609461966606</v>
      </c>
    </row>
    <row r="580" spans="1:23" ht="21.75" customHeight="1" x14ac:dyDescent="0.2">
      <c r="A580" s="78"/>
      <c r="B580" s="498" t="s">
        <v>347</v>
      </c>
      <c r="C580" s="498"/>
      <c r="D580" s="498"/>
      <c r="E580" s="498"/>
      <c r="F580" s="498"/>
      <c r="G580" s="498"/>
      <c r="H580" s="498"/>
      <c r="I580" s="498"/>
      <c r="J580" s="498"/>
      <c r="K580" s="498"/>
      <c r="L580" s="499"/>
      <c r="M580" s="242">
        <v>10</v>
      </c>
      <c r="N580" s="242">
        <v>6</v>
      </c>
      <c r="O580" s="243" t="s">
        <v>506</v>
      </c>
      <c r="P580" s="244" t="s">
        <v>27</v>
      </c>
      <c r="Q580" s="500"/>
      <c r="R580" s="501"/>
      <c r="S580" s="245">
        <v>12.3</v>
      </c>
      <c r="T580" s="246">
        <v>0</v>
      </c>
      <c r="U580" s="164">
        <v>12.3</v>
      </c>
      <c r="V580" s="273">
        <f>+'11'!AG202</f>
        <v>0</v>
      </c>
      <c r="W580" s="273">
        <f t="shared" si="14"/>
        <v>0</v>
      </c>
    </row>
    <row r="581" spans="1:23" ht="12.75" customHeight="1" x14ac:dyDescent="0.2">
      <c r="A581" s="78"/>
      <c r="B581" s="498" t="s">
        <v>348</v>
      </c>
      <c r="C581" s="498"/>
      <c r="D581" s="498"/>
      <c r="E581" s="498"/>
      <c r="F581" s="498"/>
      <c r="G581" s="498"/>
      <c r="H581" s="498"/>
      <c r="I581" s="498"/>
      <c r="J581" s="498"/>
      <c r="K581" s="498"/>
      <c r="L581" s="499"/>
      <c r="M581" s="242">
        <v>10</v>
      </c>
      <c r="N581" s="242">
        <v>6</v>
      </c>
      <c r="O581" s="243" t="s">
        <v>506</v>
      </c>
      <c r="P581" s="244" t="s">
        <v>28</v>
      </c>
      <c r="Q581" s="500"/>
      <c r="R581" s="501"/>
      <c r="S581" s="245">
        <v>418.9</v>
      </c>
      <c r="T581" s="246">
        <v>0</v>
      </c>
      <c r="U581" s="164">
        <v>418.9</v>
      </c>
      <c r="V581" s="273">
        <f>+'11'!AG203</f>
        <v>94.698459999999997</v>
      </c>
      <c r="W581" s="273">
        <f t="shared" si="14"/>
        <v>22.606459775602769</v>
      </c>
    </row>
    <row r="582" spans="1:23" ht="12.75" customHeight="1" x14ac:dyDescent="0.2">
      <c r="A582" s="78"/>
      <c r="B582" s="510" t="s">
        <v>507</v>
      </c>
      <c r="C582" s="510"/>
      <c r="D582" s="510"/>
      <c r="E582" s="510"/>
      <c r="F582" s="510"/>
      <c r="G582" s="510"/>
      <c r="H582" s="510"/>
      <c r="I582" s="510"/>
      <c r="J582" s="510"/>
      <c r="K582" s="510"/>
      <c r="L582" s="511"/>
      <c r="M582" s="232">
        <v>11</v>
      </c>
      <c r="N582" s="232">
        <v>0</v>
      </c>
      <c r="O582" s="233">
        <v>0</v>
      </c>
      <c r="P582" s="234">
        <v>0</v>
      </c>
      <c r="Q582" s="512"/>
      <c r="R582" s="513"/>
      <c r="S582" s="235">
        <v>400</v>
      </c>
      <c r="T582" s="236">
        <v>0</v>
      </c>
      <c r="U582" s="165">
        <v>400</v>
      </c>
      <c r="V582" s="273">
        <f>+V583</f>
        <v>81</v>
      </c>
      <c r="W582" s="273">
        <f t="shared" si="14"/>
        <v>20.25</v>
      </c>
    </row>
    <row r="583" spans="1:23" ht="20.25" customHeight="1" x14ac:dyDescent="0.25">
      <c r="A583" s="78"/>
      <c r="B583" s="502" t="s">
        <v>99</v>
      </c>
      <c r="C583" s="502"/>
      <c r="D583" s="502"/>
      <c r="E583" s="502"/>
      <c r="F583" s="502"/>
      <c r="G583" s="502"/>
      <c r="H583" s="502"/>
      <c r="I583" s="502"/>
      <c r="J583" s="502"/>
      <c r="K583" s="502"/>
      <c r="L583" s="503"/>
      <c r="M583" s="237">
        <v>11</v>
      </c>
      <c r="N583" s="237">
        <v>5</v>
      </c>
      <c r="O583" s="238">
        <v>0</v>
      </c>
      <c r="P583" s="239">
        <v>0</v>
      </c>
      <c r="Q583" s="504"/>
      <c r="R583" s="505"/>
      <c r="S583" s="240">
        <v>400</v>
      </c>
      <c r="T583" s="241">
        <v>0</v>
      </c>
      <c r="U583" s="274">
        <v>400</v>
      </c>
      <c r="V583" s="273">
        <f>+V584+V590</f>
        <v>81</v>
      </c>
      <c r="W583" s="273">
        <f t="shared" si="14"/>
        <v>20.25</v>
      </c>
    </row>
    <row r="584" spans="1:23" ht="32.25" customHeight="1" x14ac:dyDescent="0.2">
      <c r="A584" s="78"/>
      <c r="B584" s="498" t="s">
        <v>495</v>
      </c>
      <c r="C584" s="498"/>
      <c r="D584" s="498"/>
      <c r="E584" s="498"/>
      <c r="F584" s="498"/>
      <c r="G584" s="498"/>
      <c r="H584" s="498"/>
      <c r="I584" s="498"/>
      <c r="J584" s="498"/>
      <c r="K584" s="498"/>
      <c r="L584" s="499"/>
      <c r="M584" s="242">
        <v>11</v>
      </c>
      <c r="N584" s="242">
        <v>5</v>
      </c>
      <c r="O584" s="243" t="s">
        <v>496</v>
      </c>
      <c r="P584" s="244">
        <v>0</v>
      </c>
      <c r="Q584" s="500"/>
      <c r="R584" s="501"/>
      <c r="S584" s="245">
        <v>180</v>
      </c>
      <c r="T584" s="246">
        <v>0</v>
      </c>
      <c r="U584" s="164">
        <v>180</v>
      </c>
      <c r="V584" s="273">
        <f>+V585</f>
        <v>0</v>
      </c>
      <c r="W584" s="273">
        <f t="shared" si="14"/>
        <v>0</v>
      </c>
    </row>
    <row r="585" spans="1:23" ht="12.75" customHeight="1" x14ac:dyDescent="0.2">
      <c r="A585" s="78"/>
      <c r="B585" s="498" t="s">
        <v>113</v>
      </c>
      <c r="C585" s="498"/>
      <c r="D585" s="498"/>
      <c r="E585" s="498"/>
      <c r="F585" s="498"/>
      <c r="G585" s="498"/>
      <c r="H585" s="498"/>
      <c r="I585" s="498"/>
      <c r="J585" s="498"/>
      <c r="K585" s="498"/>
      <c r="L585" s="499"/>
      <c r="M585" s="242">
        <v>11</v>
      </c>
      <c r="N585" s="242">
        <v>5</v>
      </c>
      <c r="O585" s="243" t="s">
        <v>508</v>
      </c>
      <c r="P585" s="244">
        <v>0</v>
      </c>
      <c r="Q585" s="500"/>
      <c r="R585" s="501"/>
      <c r="S585" s="245">
        <v>180</v>
      </c>
      <c r="T585" s="246">
        <v>0</v>
      </c>
      <c r="U585" s="164">
        <v>180</v>
      </c>
      <c r="V585" s="273">
        <f>+V586</f>
        <v>0</v>
      </c>
      <c r="W585" s="273">
        <f t="shared" si="14"/>
        <v>0</v>
      </c>
    </row>
    <row r="586" spans="1:23" ht="12.75" customHeight="1" x14ac:dyDescent="0.2">
      <c r="A586" s="78"/>
      <c r="B586" s="498" t="s">
        <v>100</v>
      </c>
      <c r="C586" s="498"/>
      <c r="D586" s="498"/>
      <c r="E586" s="498"/>
      <c r="F586" s="498"/>
      <c r="G586" s="498"/>
      <c r="H586" s="498"/>
      <c r="I586" s="498"/>
      <c r="J586" s="498"/>
      <c r="K586" s="498"/>
      <c r="L586" s="499"/>
      <c r="M586" s="242">
        <v>11</v>
      </c>
      <c r="N586" s="242">
        <v>5</v>
      </c>
      <c r="O586" s="243" t="s">
        <v>509</v>
      </c>
      <c r="P586" s="244">
        <v>0</v>
      </c>
      <c r="Q586" s="500"/>
      <c r="R586" s="501"/>
      <c r="S586" s="245">
        <v>180</v>
      </c>
      <c r="T586" s="246">
        <v>0</v>
      </c>
      <c r="U586" s="164">
        <v>180</v>
      </c>
      <c r="V586" s="273">
        <f>+V587</f>
        <v>0</v>
      </c>
      <c r="W586" s="273">
        <f t="shared" si="14"/>
        <v>0</v>
      </c>
    </row>
    <row r="587" spans="1:23" ht="21.75" customHeight="1" x14ac:dyDescent="0.2">
      <c r="A587" s="78"/>
      <c r="B587" s="498" t="s">
        <v>345</v>
      </c>
      <c r="C587" s="498"/>
      <c r="D587" s="498"/>
      <c r="E587" s="498"/>
      <c r="F587" s="498"/>
      <c r="G587" s="498"/>
      <c r="H587" s="498"/>
      <c r="I587" s="498"/>
      <c r="J587" s="498"/>
      <c r="K587" s="498"/>
      <c r="L587" s="499"/>
      <c r="M587" s="242">
        <v>11</v>
      </c>
      <c r="N587" s="242">
        <v>5</v>
      </c>
      <c r="O587" s="243" t="s">
        <v>509</v>
      </c>
      <c r="P587" s="244" t="s">
        <v>24</v>
      </c>
      <c r="Q587" s="500"/>
      <c r="R587" s="501"/>
      <c r="S587" s="245">
        <v>180</v>
      </c>
      <c r="T587" s="246">
        <v>0</v>
      </c>
      <c r="U587" s="164">
        <v>180</v>
      </c>
      <c r="V587" s="273">
        <f>+V588</f>
        <v>0</v>
      </c>
      <c r="W587" s="273">
        <f t="shared" si="14"/>
        <v>0</v>
      </c>
    </row>
    <row r="588" spans="1:23" ht="21.75" customHeight="1" x14ac:dyDescent="0.2">
      <c r="A588" s="78"/>
      <c r="B588" s="498" t="s">
        <v>346</v>
      </c>
      <c r="C588" s="498"/>
      <c r="D588" s="498"/>
      <c r="E588" s="498"/>
      <c r="F588" s="498"/>
      <c r="G588" s="498"/>
      <c r="H588" s="498"/>
      <c r="I588" s="498"/>
      <c r="J588" s="498"/>
      <c r="K588" s="498"/>
      <c r="L588" s="499"/>
      <c r="M588" s="242">
        <v>11</v>
      </c>
      <c r="N588" s="242">
        <v>5</v>
      </c>
      <c r="O588" s="243" t="s">
        <v>509</v>
      </c>
      <c r="P588" s="244" t="s">
        <v>26</v>
      </c>
      <c r="Q588" s="500"/>
      <c r="R588" s="501"/>
      <c r="S588" s="245">
        <v>180</v>
      </c>
      <c r="T588" s="246">
        <v>0</v>
      </c>
      <c r="U588" s="164">
        <v>180</v>
      </c>
      <c r="V588" s="273">
        <f>+V589</f>
        <v>0</v>
      </c>
      <c r="W588" s="273">
        <f t="shared" si="14"/>
        <v>0</v>
      </c>
    </row>
    <row r="589" spans="1:23" ht="12.75" customHeight="1" x14ac:dyDescent="0.2">
      <c r="A589" s="78"/>
      <c r="B589" s="498" t="s">
        <v>348</v>
      </c>
      <c r="C589" s="498"/>
      <c r="D589" s="498"/>
      <c r="E589" s="498"/>
      <c r="F589" s="498"/>
      <c r="G589" s="498"/>
      <c r="H589" s="498"/>
      <c r="I589" s="498"/>
      <c r="J589" s="498"/>
      <c r="K589" s="498"/>
      <c r="L589" s="499"/>
      <c r="M589" s="242">
        <v>11</v>
      </c>
      <c r="N589" s="242">
        <v>5</v>
      </c>
      <c r="O589" s="243" t="s">
        <v>509</v>
      </c>
      <c r="P589" s="244" t="s">
        <v>28</v>
      </c>
      <c r="Q589" s="500"/>
      <c r="R589" s="501"/>
      <c r="S589" s="245">
        <v>180</v>
      </c>
      <c r="T589" s="246">
        <v>0</v>
      </c>
      <c r="U589" s="164">
        <v>180</v>
      </c>
      <c r="V589" s="273">
        <f>+'11'!AG578</f>
        <v>0</v>
      </c>
      <c r="W589" s="273">
        <f t="shared" si="14"/>
        <v>0</v>
      </c>
    </row>
    <row r="590" spans="1:23" ht="32.25" customHeight="1" x14ac:dyDescent="0.2">
      <c r="A590" s="78"/>
      <c r="B590" s="498" t="s">
        <v>495</v>
      </c>
      <c r="C590" s="498"/>
      <c r="D590" s="498"/>
      <c r="E590" s="498"/>
      <c r="F590" s="498"/>
      <c r="G590" s="498"/>
      <c r="H590" s="498"/>
      <c r="I590" s="498"/>
      <c r="J590" s="498"/>
      <c r="K590" s="498"/>
      <c r="L590" s="499"/>
      <c r="M590" s="242">
        <v>11</v>
      </c>
      <c r="N590" s="242">
        <v>5</v>
      </c>
      <c r="O590" s="243" t="s">
        <v>496</v>
      </c>
      <c r="P590" s="244">
        <v>0</v>
      </c>
      <c r="Q590" s="500"/>
      <c r="R590" s="501"/>
      <c r="S590" s="245">
        <v>220</v>
      </c>
      <c r="T590" s="246">
        <v>0</v>
      </c>
      <c r="U590" s="164">
        <v>220</v>
      </c>
      <c r="V590" s="273">
        <f>+V591</f>
        <v>81</v>
      </c>
      <c r="W590" s="273">
        <f t="shared" si="14"/>
        <v>36.818181818181813</v>
      </c>
    </row>
    <row r="591" spans="1:23" ht="12.75" customHeight="1" x14ac:dyDescent="0.2">
      <c r="A591" s="78"/>
      <c r="B591" s="498" t="s">
        <v>497</v>
      </c>
      <c r="C591" s="498"/>
      <c r="D591" s="498"/>
      <c r="E591" s="498"/>
      <c r="F591" s="498"/>
      <c r="G591" s="498"/>
      <c r="H591" s="498"/>
      <c r="I591" s="498"/>
      <c r="J591" s="498"/>
      <c r="K591" s="498"/>
      <c r="L591" s="499"/>
      <c r="M591" s="242">
        <v>11</v>
      </c>
      <c r="N591" s="242">
        <v>5</v>
      </c>
      <c r="O591" s="243" t="s">
        <v>498</v>
      </c>
      <c r="P591" s="244">
        <v>0</v>
      </c>
      <c r="Q591" s="500"/>
      <c r="R591" s="501"/>
      <c r="S591" s="245">
        <v>220</v>
      </c>
      <c r="T591" s="246">
        <v>0</v>
      </c>
      <c r="U591" s="164">
        <v>220</v>
      </c>
      <c r="V591" s="273">
        <f>+V592</f>
        <v>81</v>
      </c>
      <c r="W591" s="273">
        <f t="shared" si="14"/>
        <v>36.818181818181813</v>
      </c>
    </row>
    <row r="592" spans="1:23" ht="12.75" customHeight="1" x14ac:dyDescent="0.2">
      <c r="A592" s="78"/>
      <c r="B592" s="498" t="s">
        <v>100</v>
      </c>
      <c r="C592" s="498"/>
      <c r="D592" s="498"/>
      <c r="E592" s="498"/>
      <c r="F592" s="498"/>
      <c r="G592" s="498"/>
      <c r="H592" s="498"/>
      <c r="I592" s="498"/>
      <c r="J592" s="498"/>
      <c r="K592" s="498"/>
      <c r="L592" s="499"/>
      <c r="M592" s="242">
        <v>11</v>
      </c>
      <c r="N592" s="242">
        <v>5</v>
      </c>
      <c r="O592" s="243" t="s">
        <v>510</v>
      </c>
      <c r="P592" s="244">
        <v>0</v>
      </c>
      <c r="Q592" s="500"/>
      <c r="R592" s="501"/>
      <c r="S592" s="245">
        <v>220</v>
      </c>
      <c r="T592" s="246">
        <v>0</v>
      </c>
      <c r="U592" s="164">
        <v>220</v>
      </c>
      <c r="V592" s="273">
        <f>+V593</f>
        <v>81</v>
      </c>
      <c r="W592" s="273">
        <f t="shared" si="14"/>
        <v>36.818181818181813</v>
      </c>
    </row>
    <row r="593" spans="1:23" ht="21.75" customHeight="1" x14ac:dyDescent="0.2">
      <c r="A593" s="78"/>
      <c r="B593" s="498" t="s">
        <v>345</v>
      </c>
      <c r="C593" s="498"/>
      <c r="D593" s="498"/>
      <c r="E593" s="498"/>
      <c r="F593" s="498"/>
      <c r="G593" s="498"/>
      <c r="H593" s="498"/>
      <c r="I593" s="498"/>
      <c r="J593" s="498"/>
      <c r="K593" s="498"/>
      <c r="L593" s="499"/>
      <c r="M593" s="242">
        <v>11</v>
      </c>
      <c r="N593" s="242">
        <v>5</v>
      </c>
      <c r="O593" s="243" t="s">
        <v>510</v>
      </c>
      <c r="P593" s="244" t="s">
        <v>24</v>
      </c>
      <c r="Q593" s="500"/>
      <c r="R593" s="501"/>
      <c r="S593" s="245">
        <v>220</v>
      </c>
      <c r="T593" s="246">
        <v>0</v>
      </c>
      <c r="U593" s="164">
        <v>220</v>
      </c>
      <c r="V593" s="273">
        <f>+V594</f>
        <v>81</v>
      </c>
      <c r="W593" s="273">
        <f t="shared" si="14"/>
        <v>36.818181818181813</v>
      </c>
    </row>
    <row r="594" spans="1:23" ht="21.75" customHeight="1" x14ac:dyDescent="0.2">
      <c r="A594" s="78"/>
      <c r="B594" s="498" t="s">
        <v>346</v>
      </c>
      <c r="C594" s="498"/>
      <c r="D594" s="498"/>
      <c r="E594" s="498"/>
      <c r="F594" s="498"/>
      <c r="G594" s="498"/>
      <c r="H594" s="498"/>
      <c r="I594" s="498"/>
      <c r="J594" s="498"/>
      <c r="K594" s="498"/>
      <c r="L594" s="499"/>
      <c r="M594" s="242">
        <v>11</v>
      </c>
      <c r="N594" s="242">
        <v>5</v>
      </c>
      <c r="O594" s="243" t="s">
        <v>510</v>
      </c>
      <c r="P594" s="244" t="s">
        <v>26</v>
      </c>
      <c r="Q594" s="500"/>
      <c r="R594" s="501"/>
      <c r="S594" s="245">
        <v>220</v>
      </c>
      <c r="T594" s="246">
        <v>0</v>
      </c>
      <c r="U594" s="164">
        <v>220</v>
      </c>
      <c r="V594" s="273">
        <f>+V595</f>
        <v>81</v>
      </c>
      <c r="W594" s="273">
        <f t="shared" si="14"/>
        <v>36.818181818181813</v>
      </c>
    </row>
    <row r="595" spans="1:23" ht="12.75" customHeight="1" x14ac:dyDescent="0.2">
      <c r="A595" s="78"/>
      <c r="B595" s="498" t="s">
        <v>348</v>
      </c>
      <c r="C595" s="498"/>
      <c r="D595" s="498"/>
      <c r="E595" s="498"/>
      <c r="F595" s="498"/>
      <c r="G595" s="498"/>
      <c r="H595" s="498"/>
      <c r="I595" s="498"/>
      <c r="J595" s="498"/>
      <c r="K595" s="498"/>
      <c r="L595" s="499"/>
      <c r="M595" s="242">
        <v>11</v>
      </c>
      <c r="N595" s="242">
        <v>5</v>
      </c>
      <c r="O595" s="243" t="s">
        <v>510</v>
      </c>
      <c r="P595" s="244" t="s">
        <v>28</v>
      </c>
      <c r="Q595" s="500"/>
      <c r="R595" s="501"/>
      <c r="S595" s="245">
        <v>220</v>
      </c>
      <c r="T595" s="246">
        <v>0</v>
      </c>
      <c r="U595" s="164">
        <v>220</v>
      </c>
      <c r="V595" s="273">
        <f>+'11'!AG584</f>
        <v>81</v>
      </c>
      <c r="W595" s="273">
        <f t="shared" si="14"/>
        <v>36.818181818181813</v>
      </c>
    </row>
    <row r="596" spans="1:23" ht="12.75" customHeight="1" x14ac:dyDescent="0.2">
      <c r="A596" s="78"/>
      <c r="B596" s="510" t="s">
        <v>511</v>
      </c>
      <c r="C596" s="510"/>
      <c r="D596" s="510"/>
      <c r="E596" s="510"/>
      <c r="F596" s="510"/>
      <c r="G596" s="510"/>
      <c r="H596" s="510"/>
      <c r="I596" s="510"/>
      <c r="J596" s="510"/>
      <c r="K596" s="510"/>
      <c r="L596" s="511"/>
      <c r="M596" s="232">
        <v>12</v>
      </c>
      <c r="N596" s="232">
        <v>0</v>
      </c>
      <c r="O596" s="233">
        <v>0</v>
      </c>
      <c r="P596" s="234">
        <v>0</v>
      </c>
      <c r="Q596" s="512"/>
      <c r="R596" s="513"/>
      <c r="S596" s="235">
        <v>180</v>
      </c>
      <c r="T596" s="236">
        <v>0</v>
      </c>
      <c r="U596" s="165">
        <v>180</v>
      </c>
      <c r="V596" s="273">
        <f t="shared" ref="V596:V601" si="16">+V597</f>
        <v>20</v>
      </c>
      <c r="W596" s="273">
        <f t="shared" si="14"/>
        <v>11.111111111111111</v>
      </c>
    </row>
    <row r="597" spans="1:23" ht="12.75" customHeight="1" x14ac:dyDescent="0.25">
      <c r="A597" s="78"/>
      <c r="B597" s="502" t="s">
        <v>101</v>
      </c>
      <c r="C597" s="502"/>
      <c r="D597" s="502"/>
      <c r="E597" s="502"/>
      <c r="F597" s="502"/>
      <c r="G597" s="502"/>
      <c r="H597" s="502"/>
      <c r="I597" s="502"/>
      <c r="J597" s="502"/>
      <c r="K597" s="502"/>
      <c r="L597" s="503"/>
      <c r="M597" s="237">
        <v>12</v>
      </c>
      <c r="N597" s="237">
        <v>2</v>
      </c>
      <c r="O597" s="238">
        <v>0</v>
      </c>
      <c r="P597" s="239">
        <v>0</v>
      </c>
      <c r="Q597" s="504"/>
      <c r="R597" s="505"/>
      <c r="S597" s="240">
        <v>180</v>
      </c>
      <c r="T597" s="241">
        <v>0</v>
      </c>
      <c r="U597" s="274">
        <v>180</v>
      </c>
      <c r="V597" s="273">
        <f t="shared" si="16"/>
        <v>20</v>
      </c>
      <c r="W597" s="273">
        <f t="shared" si="14"/>
        <v>11.111111111111111</v>
      </c>
    </row>
    <row r="598" spans="1:23" ht="32.25" customHeight="1" x14ac:dyDescent="0.2">
      <c r="A598" s="78"/>
      <c r="B598" s="498" t="s">
        <v>329</v>
      </c>
      <c r="C598" s="498"/>
      <c r="D598" s="498"/>
      <c r="E598" s="498"/>
      <c r="F598" s="498"/>
      <c r="G598" s="498"/>
      <c r="H598" s="498"/>
      <c r="I598" s="498"/>
      <c r="J598" s="498"/>
      <c r="K598" s="498"/>
      <c r="L598" s="499"/>
      <c r="M598" s="242">
        <v>12</v>
      </c>
      <c r="N598" s="242">
        <v>2</v>
      </c>
      <c r="O598" s="243" t="s">
        <v>330</v>
      </c>
      <c r="P598" s="244">
        <v>0</v>
      </c>
      <c r="Q598" s="500"/>
      <c r="R598" s="501"/>
      <c r="S598" s="245">
        <v>180</v>
      </c>
      <c r="T598" s="246">
        <v>0</v>
      </c>
      <c r="U598" s="164">
        <v>180</v>
      </c>
      <c r="V598" s="273">
        <f t="shared" si="16"/>
        <v>20</v>
      </c>
      <c r="W598" s="273">
        <f t="shared" si="14"/>
        <v>11.111111111111111</v>
      </c>
    </row>
    <row r="599" spans="1:23" ht="21.75" customHeight="1" x14ac:dyDescent="0.2">
      <c r="A599" s="78"/>
      <c r="B599" s="498" t="s">
        <v>512</v>
      </c>
      <c r="C599" s="498"/>
      <c r="D599" s="498"/>
      <c r="E599" s="498"/>
      <c r="F599" s="498"/>
      <c r="G599" s="498"/>
      <c r="H599" s="498"/>
      <c r="I599" s="498"/>
      <c r="J599" s="498"/>
      <c r="K599" s="498"/>
      <c r="L599" s="499"/>
      <c r="M599" s="242">
        <v>12</v>
      </c>
      <c r="N599" s="242">
        <v>2</v>
      </c>
      <c r="O599" s="243" t="s">
        <v>513</v>
      </c>
      <c r="P599" s="244">
        <v>0</v>
      </c>
      <c r="Q599" s="500"/>
      <c r="R599" s="501"/>
      <c r="S599" s="245">
        <v>180</v>
      </c>
      <c r="T599" s="246">
        <v>0</v>
      </c>
      <c r="U599" s="164">
        <v>180</v>
      </c>
      <c r="V599" s="273">
        <f t="shared" si="16"/>
        <v>20</v>
      </c>
      <c r="W599" s="273">
        <f t="shared" si="14"/>
        <v>11.111111111111111</v>
      </c>
    </row>
    <row r="600" spans="1:23" ht="21.75" customHeight="1" x14ac:dyDescent="0.2">
      <c r="A600" s="78"/>
      <c r="B600" s="498" t="s">
        <v>345</v>
      </c>
      <c r="C600" s="498"/>
      <c r="D600" s="498"/>
      <c r="E600" s="498"/>
      <c r="F600" s="498"/>
      <c r="G600" s="498"/>
      <c r="H600" s="498"/>
      <c r="I600" s="498"/>
      <c r="J600" s="498"/>
      <c r="K600" s="498"/>
      <c r="L600" s="499"/>
      <c r="M600" s="242">
        <v>12</v>
      </c>
      <c r="N600" s="242">
        <v>2</v>
      </c>
      <c r="O600" s="243" t="s">
        <v>513</v>
      </c>
      <c r="P600" s="244" t="s">
        <v>24</v>
      </c>
      <c r="Q600" s="500"/>
      <c r="R600" s="501"/>
      <c r="S600" s="245">
        <v>180</v>
      </c>
      <c r="T600" s="246">
        <v>0</v>
      </c>
      <c r="U600" s="164">
        <v>180</v>
      </c>
      <c r="V600" s="273">
        <f t="shared" si="16"/>
        <v>20</v>
      </c>
      <c r="W600" s="273">
        <f t="shared" si="14"/>
        <v>11.111111111111111</v>
      </c>
    </row>
    <row r="601" spans="1:23" ht="21.75" customHeight="1" x14ac:dyDescent="0.2">
      <c r="A601" s="78"/>
      <c r="B601" s="498" t="s">
        <v>346</v>
      </c>
      <c r="C601" s="498"/>
      <c r="D601" s="498"/>
      <c r="E601" s="498"/>
      <c r="F601" s="498"/>
      <c r="G601" s="498"/>
      <c r="H601" s="498"/>
      <c r="I601" s="498"/>
      <c r="J601" s="498"/>
      <c r="K601" s="498"/>
      <c r="L601" s="499"/>
      <c r="M601" s="242">
        <v>12</v>
      </c>
      <c r="N601" s="242">
        <v>2</v>
      </c>
      <c r="O601" s="243" t="s">
        <v>513</v>
      </c>
      <c r="P601" s="244" t="s">
        <v>26</v>
      </c>
      <c r="Q601" s="500"/>
      <c r="R601" s="501"/>
      <c r="S601" s="245">
        <v>180</v>
      </c>
      <c r="T601" s="246">
        <v>0</v>
      </c>
      <c r="U601" s="164">
        <v>180</v>
      </c>
      <c r="V601" s="273">
        <f t="shared" si="16"/>
        <v>20</v>
      </c>
      <c r="W601" s="273">
        <f t="shared" si="14"/>
        <v>11.111111111111111</v>
      </c>
    </row>
    <row r="602" spans="1:23" ht="12.75" customHeight="1" x14ac:dyDescent="0.2">
      <c r="A602" s="78"/>
      <c r="B602" s="498" t="s">
        <v>348</v>
      </c>
      <c r="C602" s="498"/>
      <c r="D602" s="498"/>
      <c r="E602" s="498"/>
      <c r="F602" s="498"/>
      <c r="G602" s="498"/>
      <c r="H602" s="498"/>
      <c r="I602" s="498"/>
      <c r="J602" s="498"/>
      <c r="K602" s="498"/>
      <c r="L602" s="499"/>
      <c r="M602" s="242">
        <v>12</v>
      </c>
      <c r="N602" s="242">
        <v>2</v>
      </c>
      <c r="O602" s="243" t="s">
        <v>513</v>
      </c>
      <c r="P602" s="244" t="s">
        <v>28</v>
      </c>
      <c r="Q602" s="500"/>
      <c r="R602" s="501"/>
      <c r="S602" s="245">
        <v>180</v>
      </c>
      <c r="T602" s="246">
        <v>0</v>
      </c>
      <c r="U602" s="164">
        <v>180</v>
      </c>
      <c r="V602" s="273">
        <f>+'11'!AG591</f>
        <v>20</v>
      </c>
      <c r="W602" s="273">
        <f t="shared" si="14"/>
        <v>11.111111111111111</v>
      </c>
    </row>
    <row r="603" spans="1:23" ht="34.5" customHeight="1" x14ac:dyDescent="0.2">
      <c r="A603" s="78"/>
      <c r="B603" s="510" t="s">
        <v>514</v>
      </c>
      <c r="C603" s="510"/>
      <c r="D603" s="510"/>
      <c r="E603" s="510"/>
      <c r="F603" s="510"/>
      <c r="G603" s="510"/>
      <c r="H603" s="510"/>
      <c r="I603" s="510"/>
      <c r="J603" s="510"/>
      <c r="K603" s="510"/>
      <c r="L603" s="511"/>
      <c r="M603" s="232">
        <v>14</v>
      </c>
      <c r="N603" s="232">
        <v>0</v>
      </c>
      <c r="O603" s="233">
        <v>0</v>
      </c>
      <c r="P603" s="234">
        <v>0</v>
      </c>
      <c r="Q603" s="512"/>
      <c r="R603" s="513"/>
      <c r="S603" s="235">
        <v>16896.687000000002</v>
      </c>
      <c r="T603" s="236">
        <v>0</v>
      </c>
      <c r="U603" s="165">
        <v>16896.687000000002</v>
      </c>
      <c r="V603" s="273">
        <f>+V604+V610+V616</f>
        <v>4348.92778</v>
      </c>
      <c r="W603" s="273">
        <f t="shared" ref="W603:W624" si="17">V603/U603*100</f>
        <v>25.738346102996402</v>
      </c>
    </row>
    <row r="604" spans="1:23" ht="30" customHeight="1" x14ac:dyDescent="0.25">
      <c r="A604" s="78"/>
      <c r="B604" s="502" t="s">
        <v>106</v>
      </c>
      <c r="C604" s="502"/>
      <c r="D604" s="502"/>
      <c r="E604" s="502"/>
      <c r="F604" s="502"/>
      <c r="G604" s="502"/>
      <c r="H604" s="502"/>
      <c r="I604" s="502"/>
      <c r="J604" s="502"/>
      <c r="K604" s="502"/>
      <c r="L604" s="503"/>
      <c r="M604" s="237">
        <v>14</v>
      </c>
      <c r="N604" s="237">
        <v>1</v>
      </c>
      <c r="O604" s="238">
        <v>0</v>
      </c>
      <c r="P604" s="239">
        <v>0</v>
      </c>
      <c r="Q604" s="504"/>
      <c r="R604" s="505"/>
      <c r="S604" s="240">
        <v>14844.97</v>
      </c>
      <c r="T604" s="241">
        <v>0</v>
      </c>
      <c r="U604" s="274">
        <v>14844.97</v>
      </c>
      <c r="V604" s="273">
        <f>+V605</f>
        <v>4170.0818499999996</v>
      </c>
      <c r="W604" s="273">
        <f t="shared" si="17"/>
        <v>28.090874215306599</v>
      </c>
    </row>
    <row r="605" spans="1:23" ht="21.75" customHeight="1" x14ac:dyDescent="0.2">
      <c r="A605" s="78"/>
      <c r="B605" s="498" t="s">
        <v>379</v>
      </c>
      <c r="C605" s="498"/>
      <c r="D605" s="498"/>
      <c r="E605" s="498"/>
      <c r="F605" s="498"/>
      <c r="G605" s="498"/>
      <c r="H605" s="498"/>
      <c r="I605" s="498"/>
      <c r="J605" s="498"/>
      <c r="K605" s="498"/>
      <c r="L605" s="499"/>
      <c r="M605" s="242">
        <v>14</v>
      </c>
      <c r="N605" s="242">
        <v>1</v>
      </c>
      <c r="O605" s="243" t="s">
        <v>380</v>
      </c>
      <c r="P605" s="244">
        <v>0</v>
      </c>
      <c r="Q605" s="500"/>
      <c r="R605" s="501"/>
      <c r="S605" s="245">
        <v>14844.97</v>
      </c>
      <c r="T605" s="246">
        <v>0</v>
      </c>
      <c r="U605" s="164">
        <v>14844.97</v>
      </c>
      <c r="V605" s="273">
        <f>+V606</f>
        <v>4170.0818499999996</v>
      </c>
      <c r="W605" s="273">
        <f t="shared" si="17"/>
        <v>28.090874215306599</v>
      </c>
    </row>
    <row r="606" spans="1:23" ht="12.75" customHeight="1" x14ac:dyDescent="0.2">
      <c r="A606" s="78"/>
      <c r="B606" s="498" t="s">
        <v>515</v>
      </c>
      <c r="C606" s="498"/>
      <c r="D606" s="498"/>
      <c r="E606" s="498"/>
      <c r="F606" s="498"/>
      <c r="G606" s="498"/>
      <c r="H606" s="498"/>
      <c r="I606" s="498"/>
      <c r="J606" s="498"/>
      <c r="K606" s="498"/>
      <c r="L606" s="499"/>
      <c r="M606" s="242">
        <v>14</v>
      </c>
      <c r="N606" s="242">
        <v>1</v>
      </c>
      <c r="O606" s="243" t="s">
        <v>516</v>
      </c>
      <c r="P606" s="244">
        <v>0</v>
      </c>
      <c r="Q606" s="500"/>
      <c r="R606" s="501"/>
      <c r="S606" s="245">
        <v>14844.97</v>
      </c>
      <c r="T606" s="246">
        <v>0</v>
      </c>
      <c r="U606" s="164">
        <v>14844.97</v>
      </c>
      <c r="V606" s="273">
        <f>+V607</f>
        <v>4170.0818499999996</v>
      </c>
      <c r="W606" s="273">
        <f t="shared" si="17"/>
        <v>28.090874215306599</v>
      </c>
    </row>
    <row r="607" spans="1:23" ht="12.75" customHeight="1" x14ac:dyDescent="0.2">
      <c r="A607" s="78"/>
      <c r="B607" s="498" t="s">
        <v>61</v>
      </c>
      <c r="C607" s="498"/>
      <c r="D607" s="498"/>
      <c r="E607" s="498"/>
      <c r="F607" s="498"/>
      <c r="G607" s="498"/>
      <c r="H607" s="498"/>
      <c r="I607" s="498"/>
      <c r="J607" s="498"/>
      <c r="K607" s="498"/>
      <c r="L607" s="499"/>
      <c r="M607" s="242">
        <v>14</v>
      </c>
      <c r="N607" s="242">
        <v>1</v>
      </c>
      <c r="O607" s="243" t="s">
        <v>516</v>
      </c>
      <c r="P607" s="244" t="s">
        <v>103</v>
      </c>
      <c r="Q607" s="500"/>
      <c r="R607" s="501"/>
      <c r="S607" s="245">
        <v>14844.97</v>
      </c>
      <c r="T607" s="246">
        <v>0</v>
      </c>
      <c r="U607" s="164">
        <v>14844.97</v>
      </c>
      <c r="V607" s="273">
        <f>+V608</f>
        <v>4170.0818499999996</v>
      </c>
      <c r="W607" s="273">
        <f t="shared" si="17"/>
        <v>28.090874215306599</v>
      </c>
    </row>
    <row r="608" spans="1:23" ht="12.75" customHeight="1" x14ac:dyDescent="0.2">
      <c r="A608" s="78"/>
      <c r="B608" s="498" t="s">
        <v>107</v>
      </c>
      <c r="C608" s="498"/>
      <c r="D608" s="498"/>
      <c r="E608" s="498"/>
      <c r="F608" s="498"/>
      <c r="G608" s="498"/>
      <c r="H608" s="498"/>
      <c r="I608" s="498"/>
      <c r="J608" s="498"/>
      <c r="K608" s="498"/>
      <c r="L608" s="499"/>
      <c r="M608" s="242">
        <v>14</v>
      </c>
      <c r="N608" s="242">
        <v>1</v>
      </c>
      <c r="O608" s="243" t="s">
        <v>516</v>
      </c>
      <c r="P608" s="244" t="s">
        <v>108</v>
      </c>
      <c r="Q608" s="500"/>
      <c r="R608" s="501"/>
      <c r="S608" s="245">
        <v>14844.97</v>
      </c>
      <c r="T608" s="246">
        <v>0</v>
      </c>
      <c r="U608" s="164">
        <v>14844.97</v>
      </c>
      <c r="V608" s="273">
        <f>+V609</f>
        <v>4170.0818499999996</v>
      </c>
      <c r="W608" s="273">
        <f t="shared" si="17"/>
        <v>28.090874215306599</v>
      </c>
    </row>
    <row r="609" spans="1:23" ht="12.75" customHeight="1" x14ac:dyDescent="0.2">
      <c r="A609" s="78"/>
      <c r="B609" s="498" t="s">
        <v>515</v>
      </c>
      <c r="C609" s="498"/>
      <c r="D609" s="498"/>
      <c r="E609" s="498"/>
      <c r="F609" s="498"/>
      <c r="G609" s="498"/>
      <c r="H609" s="498"/>
      <c r="I609" s="498"/>
      <c r="J609" s="498"/>
      <c r="K609" s="498"/>
      <c r="L609" s="499"/>
      <c r="M609" s="242">
        <v>14</v>
      </c>
      <c r="N609" s="242">
        <v>1</v>
      </c>
      <c r="O609" s="243" t="s">
        <v>516</v>
      </c>
      <c r="P609" s="244" t="s">
        <v>109</v>
      </c>
      <c r="Q609" s="500"/>
      <c r="R609" s="501"/>
      <c r="S609" s="245">
        <v>14844.97</v>
      </c>
      <c r="T609" s="246">
        <v>0</v>
      </c>
      <c r="U609" s="164">
        <v>14844.97</v>
      </c>
      <c r="V609" s="273">
        <f>+'11'!AG642</f>
        <v>4170.0818499999996</v>
      </c>
      <c r="W609" s="273">
        <f t="shared" si="17"/>
        <v>28.090874215306599</v>
      </c>
    </row>
    <row r="610" spans="1:23" ht="12.75" customHeight="1" x14ac:dyDescent="0.25">
      <c r="A610" s="78"/>
      <c r="B610" s="502" t="s">
        <v>578</v>
      </c>
      <c r="C610" s="502"/>
      <c r="D610" s="502"/>
      <c r="E610" s="502"/>
      <c r="F610" s="502"/>
      <c r="G610" s="502"/>
      <c r="H610" s="502"/>
      <c r="I610" s="502"/>
      <c r="J610" s="502"/>
      <c r="K610" s="502"/>
      <c r="L610" s="503"/>
      <c r="M610" s="237">
        <v>14</v>
      </c>
      <c r="N610" s="237">
        <v>2</v>
      </c>
      <c r="O610" s="238">
        <v>0</v>
      </c>
      <c r="P610" s="239">
        <v>0</v>
      </c>
      <c r="Q610" s="504"/>
      <c r="R610" s="505"/>
      <c r="S610" s="240">
        <v>932.2</v>
      </c>
      <c r="T610" s="241">
        <v>0</v>
      </c>
      <c r="U610" s="274">
        <v>932.2</v>
      </c>
      <c r="V610" s="273">
        <f>+V611</f>
        <v>0</v>
      </c>
      <c r="W610" s="273">
        <f t="shared" si="17"/>
        <v>0</v>
      </c>
    </row>
    <row r="611" spans="1:23" ht="21.75" customHeight="1" x14ac:dyDescent="0.2">
      <c r="A611" s="78"/>
      <c r="B611" s="498" t="s">
        <v>379</v>
      </c>
      <c r="C611" s="498"/>
      <c r="D611" s="498"/>
      <c r="E611" s="498"/>
      <c r="F611" s="498"/>
      <c r="G611" s="498"/>
      <c r="H611" s="498"/>
      <c r="I611" s="498"/>
      <c r="J611" s="498"/>
      <c r="K611" s="498"/>
      <c r="L611" s="499"/>
      <c r="M611" s="242">
        <v>14</v>
      </c>
      <c r="N611" s="242">
        <v>2</v>
      </c>
      <c r="O611" s="243" t="s">
        <v>380</v>
      </c>
      <c r="P611" s="244">
        <v>0</v>
      </c>
      <c r="Q611" s="500"/>
      <c r="R611" s="501"/>
      <c r="S611" s="245">
        <v>932.2</v>
      </c>
      <c r="T611" s="246">
        <v>0</v>
      </c>
      <c r="U611" s="164">
        <v>932.2</v>
      </c>
      <c r="V611" s="273">
        <f>+V612</f>
        <v>0</v>
      </c>
      <c r="W611" s="273">
        <f t="shared" si="17"/>
        <v>0</v>
      </c>
    </row>
    <row r="612" spans="1:23" ht="21.75" customHeight="1" x14ac:dyDescent="0.2">
      <c r="A612" s="78"/>
      <c r="B612" s="498" t="s">
        <v>579</v>
      </c>
      <c r="C612" s="498"/>
      <c r="D612" s="498"/>
      <c r="E612" s="498"/>
      <c r="F612" s="498"/>
      <c r="G612" s="498"/>
      <c r="H612" s="498"/>
      <c r="I612" s="498"/>
      <c r="J612" s="498"/>
      <c r="K612" s="498"/>
      <c r="L612" s="499"/>
      <c r="M612" s="242">
        <v>14</v>
      </c>
      <c r="N612" s="242">
        <v>2</v>
      </c>
      <c r="O612" s="243" t="s">
        <v>580</v>
      </c>
      <c r="P612" s="244">
        <v>0</v>
      </c>
      <c r="Q612" s="500"/>
      <c r="R612" s="501"/>
      <c r="S612" s="245">
        <v>932.2</v>
      </c>
      <c r="T612" s="246">
        <v>0</v>
      </c>
      <c r="U612" s="164">
        <v>932.2</v>
      </c>
      <c r="V612" s="273">
        <f>+V613</f>
        <v>0</v>
      </c>
      <c r="W612" s="273">
        <f t="shared" si="17"/>
        <v>0</v>
      </c>
    </row>
    <row r="613" spans="1:23" ht="12.75" customHeight="1" x14ac:dyDescent="0.2">
      <c r="A613" s="78"/>
      <c r="B613" s="498" t="s">
        <v>61</v>
      </c>
      <c r="C613" s="498"/>
      <c r="D613" s="498"/>
      <c r="E613" s="498"/>
      <c r="F613" s="498"/>
      <c r="G613" s="498"/>
      <c r="H613" s="498"/>
      <c r="I613" s="498"/>
      <c r="J613" s="498"/>
      <c r="K613" s="498"/>
      <c r="L613" s="499"/>
      <c r="M613" s="242">
        <v>14</v>
      </c>
      <c r="N613" s="242">
        <v>2</v>
      </c>
      <c r="O613" s="243" t="s">
        <v>580</v>
      </c>
      <c r="P613" s="244" t="s">
        <v>103</v>
      </c>
      <c r="Q613" s="500"/>
      <c r="R613" s="501"/>
      <c r="S613" s="245">
        <v>932.2</v>
      </c>
      <c r="T613" s="246">
        <v>0</v>
      </c>
      <c r="U613" s="164">
        <v>932.2</v>
      </c>
      <c r="V613" s="273">
        <f>+V614</f>
        <v>0</v>
      </c>
      <c r="W613" s="273">
        <f t="shared" si="17"/>
        <v>0</v>
      </c>
    </row>
    <row r="614" spans="1:23" ht="12.75" customHeight="1" x14ac:dyDescent="0.2">
      <c r="A614" s="78"/>
      <c r="B614" s="498" t="s">
        <v>107</v>
      </c>
      <c r="C614" s="498"/>
      <c r="D614" s="498"/>
      <c r="E614" s="498"/>
      <c r="F614" s="498"/>
      <c r="G614" s="498"/>
      <c r="H614" s="498"/>
      <c r="I614" s="498"/>
      <c r="J614" s="498"/>
      <c r="K614" s="498"/>
      <c r="L614" s="499"/>
      <c r="M614" s="242">
        <v>14</v>
      </c>
      <c r="N614" s="242">
        <v>2</v>
      </c>
      <c r="O614" s="243" t="s">
        <v>580</v>
      </c>
      <c r="P614" s="244" t="s">
        <v>108</v>
      </c>
      <c r="Q614" s="500"/>
      <c r="R614" s="501"/>
      <c r="S614" s="245">
        <v>932.2</v>
      </c>
      <c r="T614" s="246">
        <v>0</v>
      </c>
      <c r="U614" s="164">
        <v>932.2</v>
      </c>
      <c r="V614" s="273">
        <f>+V615</f>
        <v>0</v>
      </c>
      <c r="W614" s="273">
        <f t="shared" si="17"/>
        <v>0</v>
      </c>
    </row>
    <row r="615" spans="1:23" ht="12.75" customHeight="1" x14ac:dyDescent="0.2">
      <c r="A615" s="78"/>
      <c r="B615" s="498" t="s">
        <v>578</v>
      </c>
      <c r="C615" s="498"/>
      <c r="D615" s="498"/>
      <c r="E615" s="498"/>
      <c r="F615" s="498"/>
      <c r="G615" s="498"/>
      <c r="H615" s="498"/>
      <c r="I615" s="498"/>
      <c r="J615" s="498"/>
      <c r="K615" s="498"/>
      <c r="L615" s="499"/>
      <c r="M615" s="242">
        <v>14</v>
      </c>
      <c r="N615" s="242">
        <v>2</v>
      </c>
      <c r="O615" s="243" t="s">
        <v>580</v>
      </c>
      <c r="P615" s="244" t="s">
        <v>581</v>
      </c>
      <c r="Q615" s="500"/>
      <c r="R615" s="501"/>
      <c r="S615" s="245">
        <v>932.2</v>
      </c>
      <c r="T615" s="246">
        <v>0</v>
      </c>
      <c r="U615" s="164">
        <v>932.2</v>
      </c>
      <c r="V615" s="273"/>
      <c r="W615" s="273">
        <f t="shared" si="17"/>
        <v>0</v>
      </c>
    </row>
    <row r="616" spans="1:23" ht="20.25" customHeight="1" x14ac:dyDescent="0.25">
      <c r="A616" s="78"/>
      <c r="B616" s="502" t="s">
        <v>110</v>
      </c>
      <c r="C616" s="502"/>
      <c r="D616" s="502"/>
      <c r="E616" s="502"/>
      <c r="F616" s="502"/>
      <c r="G616" s="502"/>
      <c r="H616" s="502"/>
      <c r="I616" s="502"/>
      <c r="J616" s="502"/>
      <c r="K616" s="502"/>
      <c r="L616" s="503"/>
      <c r="M616" s="237">
        <v>14</v>
      </c>
      <c r="N616" s="237">
        <v>3</v>
      </c>
      <c r="O616" s="238">
        <v>0</v>
      </c>
      <c r="P616" s="239">
        <v>0</v>
      </c>
      <c r="Q616" s="504"/>
      <c r="R616" s="505"/>
      <c r="S616" s="240">
        <v>1119.5170000000001</v>
      </c>
      <c r="T616" s="241">
        <v>0</v>
      </c>
      <c r="U616" s="274">
        <v>1119.5170000000001</v>
      </c>
      <c r="V616" s="273">
        <f>+V617</f>
        <v>178.84593000000001</v>
      </c>
      <c r="W616" s="273">
        <f t="shared" si="17"/>
        <v>15.975275944894094</v>
      </c>
    </row>
    <row r="617" spans="1:23" ht="32.25" customHeight="1" x14ac:dyDescent="0.2">
      <c r="A617" s="78"/>
      <c r="B617" s="498" t="s">
        <v>357</v>
      </c>
      <c r="C617" s="498"/>
      <c r="D617" s="498"/>
      <c r="E617" s="498"/>
      <c r="F617" s="498"/>
      <c r="G617" s="498"/>
      <c r="H617" s="498"/>
      <c r="I617" s="498"/>
      <c r="J617" s="498"/>
      <c r="K617" s="498"/>
      <c r="L617" s="499"/>
      <c r="M617" s="242">
        <v>14</v>
      </c>
      <c r="N617" s="242">
        <v>3</v>
      </c>
      <c r="O617" s="243" t="s">
        <v>358</v>
      </c>
      <c r="P617" s="244">
        <v>0</v>
      </c>
      <c r="Q617" s="500"/>
      <c r="R617" s="501"/>
      <c r="S617" s="245">
        <v>1119.5170000000001</v>
      </c>
      <c r="T617" s="246">
        <v>0</v>
      </c>
      <c r="U617" s="164">
        <v>1119.5170000000001</v>
      </c>
      <c r="V617" s="273">
        <f>+V618+V621</f>
        <v>178.84593000000001</v>
      </c>
      <c r="W617" s="273">
        <f t="shared" si="17"/>
        <v>15.975275944894094</v>
      </c>
    </row>
    <row r="618" spans="1:23" ht="63.75" customHeight="1" x14ac:dyDescent="0.2">
      <c r="A618" s="78"/>
      <c r="B618" s="498" t="s">
        <v>111</v>
      </c>
      <c r="C618" s="498"/>
      <c r="D618" s="498"/>
      <c r="E618" s="498"/>
      <c r="F618" s="498"/>
      <c r="G618" s="498"/>
      <c r="H618" s="498"/>
      <c r="I618" s="498"/>
      <c r="J618" s="498"/>
      <c r="K618" s="498"/>
      <c r="L618" s="499"/>
      <c r="M618" s="242">
        <v>14</v>
      </c>
      <c r="N618" s="242">
        <v>3</v>
      </c>
      <c r="O618" s="243" t="s">
        <v>517</v>
      </c>
      <c r="P618" s="244">
        <v>0</v>
      </c>
      <c r="Q618" s="500"/>
      <c r="R618" s="501"/>
      <c r="S618" s="245">
        <v>595.13599999999997</v>
      </c>
      <c r="T618" s="246">
        <v>0</v>
      </c>
      <c r="U618" s="164">
        <v>595.13599999999997</v>
      </c>
      <c r="V618" s="273">
        <f>+V619</f>
        <v>178.84593000000001</v>
      </c>
      <c r="W618" s="273">
        <f t="shared" si="17"/>
        <v>30.051270633939136</v>
      </c>
    </row>
    <row r="619" spans="1:23" ht="12.75" customHeight="1" x14ac:dyDescent="0.2">
      <c r="A619" s="78"/>
      <c r="B619" s="498" t="s">
        <v>61</v>
      </c>
      <c r="C619" s="498"/>
      <c r="D619" s="498"/>
      <c r="E619" s="498"/>
      <c r="F619" s="498"/>
      <c r="G619" s="498"/>
      <c r="H619" s="498"/>
      <c r="I619" s="498"/>
      <c r="J619" s="498"/>
      <c r="K619" s="498"/>
      <c r="L619" s="499"/>
      <c r="M619" s="242">
        <v>14</v>
      </c>
      <c r="N619" s="242">
        <v>3</v>
      </c>
      <c r="O619" s="243" t="s">
        <v>517</v>
      </c>
      <c r="P619" s="244" t="s">
        <v>103</v>
      </c>
      <c r="Q619" s="500"/>
      <c r="R619" s="501"/>
      <c r="S619" s="245">
        <v>595.13599999999997</v>
      </c>
      <c r="T619" s="246">
        <v>0</v>
      </c>
      <c r="U619" s="164">
        <v>595.13599999999997</v>
      </c>
      <c r="V619" s="273">
        <f>+V620</f>
        <v>178.84593000000001</v>
      </c>
      <c r="W619" s="273">
        <f t="shared" si="17"/>
        <v>30.051270633939136</v>
      </c>
    </row>
    <row r="620" spans="1:23" ht="12.75" customHeight="1" x14ac:dyDescent="0.2">
      <c r="A620" s="78"/>
      <c r="B620" s="498" t="s">
        <v>160</v>
      </c>
      <c r="C620" s="498"/>
      <c r="D620" s="498"/>
      <c r="E620" s="498"/>
      <c r="F620" s="498"/>
      <c r="G620" s="498"/>
      <c r="H620" s="498"/>
      <c r="I620" s="498"/>
      <c r="J620" s="498"/>
      <c r="K620" s="498"/>
      <c r="L620" s="499"/>
      <c r="M620" s="242">
        <v>14</v>
      </c>
      <c r="N620" s="242">
        <v>3</v>
      </c>
      <c r="O620" s="243" t="s">
        <v>517</v>
      </c>
      <c r="P620" s="244" t="s">
        <v>161</v>
      </c>
      <c r="Q620" s="500"/>
      <c r="R620" s="501"/>
      <c r="S620" s="245">
        <v>595.13599999999997</v>
      </c>
      <c r="T620" s="246">
        <v>0</v>
      </c>
      <c r="U620" s="164">
        <v>595.13599999999997</v>
      </c>
      <c r="V620" s="273">
        <f>+'11'!AG653</f>
        <v>178.84593000000001</v>
      </c>
      <c r="W620" s="273">
        <f t="shared" si="17"/>
        <v>30.051270633939136</v>
      </c>
    </row>
    <row r="621" spans="1:23" ht="32.25" customHeight="1" x14ac:dyDescent="0.2">
      <c r="A621" s="78"/>
      <c r="B621" s="498" t="s">
        <v>112</v>
      </c>
      <c r="C621" s="498"/>
      <c r="D621" s="498"/>
      <c r="E621" s="498"/>
      <c r="F621" s="498"/>
      <c r="G621" s="498"/>
      <c r="H621" s="498"/>
      <c r="I621" s="498"/>
      <c r="J621" s="498"/>
      <c r="K621" s="498"/>
      <c r="L621" s="499"/>
      <c r="M621" s="242">
        <v>14</v>
      </c>
      <c r="N621" s="242">
        <v>3</v>
      </c>
      <c r="O621" s="243" t="s">
        <v>518</v>
      </c>
      <c r="P621" s="244">
        <v>0</v>
      </c>
      <c r="Q621" s="500"/>
      <c r="R621" s="501"/>
      <c r="S621" s="245">
        <v>524.38099999999997</v>
      </c>
      <c r="T621" s="246">
        <v>0</v>
      </c>
      <c r="U621" s="164">
        <v>524.38099999999997</v>
      </c>
      <c r="V621" s="273">
        <f>+V622</f>
        <v>0</v>
      </c>
      <c r="W621" s="273">
        <f t="shared" si="17"/>
        <v>0</v>
      </c>
    </row>
    <row r="622" spans="1:23" ht="12.75" customHeight="1" x14ac:dyDescent="0.2">
      <c r="A622" s="78"/>
      <c r="B622" s="498" t="s">
        <v>61</v>
      </c>
      <c r="C622" s="498"/>
      <c r="D622" s="498"/>
      <c r="E622" s="498"/>
      <c r="F622" s="498"/>
      <c r="G622" s="498"/>
      <c r="H622" s="498"/>
      <c r="I622" s="498"/>
      <c r="J622" s="498"/>
      <c r="K622" s="498"/>
      <c r="L622" s="499"/>
      <c r="M622" s="242">
        <v>14</v>
      </c>
      <c r="N622" s="242">
        <v>3</v>
      </c>
      <c r="O622" s="243" t="s">
        <v>518</v>
      </c>
      <c r="P622" s="244" t="s">
        <v>103</v>
      </c>
      <c r="Q622" s="500"/>
      <c r="R622" s="501"/>
      <c r="S622" s="245">
        <v>524.38099999999997</v>
      </c>
      <c r="T622" s="246">
        <v>0</v>
      </c>
      <c r="U622" s="164">
        <v>524.38099999999997</v>
      </c>
      <c r="V622" s="273">
        <f>+V623</f>
        <v>0</v>
      </c>
      <c r="W622" s="273">
        <f t="shared" si="17"/>
        <v>0</v>
      </c>
    </row>
    <row r="623" spans="1:23" ht="12.75" customHeight="1" thickBot="1" x14ac:dyDescent="0.25">
      <c r="A623" s="78"/>
      <c r="B623" s="506" t="s">
        <v>160</v>
      </c>
      <c r="C623" s="506"/>
      <c r="D623" s="506"/>
      <c r="E623" s="506"/>
      <c r="F623" s="506"/>
      <c r="G623" s="506"/>
      <c r="H623" s="506"/>
      <c r="I623" s="506"/>
      <c r="J623" s="506"/>
      <c r="K623" s="506"/>
      <c r="L623" s="507"/>
      <c r="M623" s="247">
        <v>14</v>
      </c>
      <c r="N623" s="247">
        <v>3</v>
      </c>
      <c r="O623" s="248" t="s">
        <v>518</v>
      </c>
      <c r="P623" s="249" t="s">
        <v>161</v>
      </c>
      <c r="Q623" s="508"/>
      <c r="R623" s="509"/>
      <c r="S623" s="250">
        <v>524.38099999999997</v>
      </c>
      <c r="T623" s="251">
        <v>0</v>
      </c>
      <c r="U623" s="164">
        <v>524.38099999999997</v>
      </c>
      <c r="V623" s="273">
        <f>+'11'!AG656</f>
        <v>0</v>
      </c>
      <c r="W623" s="273">
        <f t="shared" si="17"/>
        <v>0</v>
      </c>
    </row>
    <row r="624" spans="1:23" ht="409.6" hidden="1" customHeight="1" x14ac:dyDescent="0.2">
      <c r="A624" s="78"/>
      <c r="B624" s="79"/>
      <c r="C624" s="79"/>
      <c r="D624" s="79"/>
      <c r="E624" s="79"/>
      <c r="F624" s="79"/>
      <c r="G624" s="79"/>
      <c r="H624" s="79"/>
      <c r="I624" s="79"/>
      <c r="J624" s="79"/>
      <c r="K624" s="79"/>
      <c r="L624" s="91"/>
      <c r="M624" s="252">
        <v>14</v>
      </c>
      <c r="N624" s="252">
        <v>3</v>
      </c>
      <c r="O624" s="253" t="s">
        <v>518</v>
      </c>
      <c r="P624" s="253" t="s">
        <v>519</v>
      </c>
      <c r="Q624" s="252">
        <v>0</v>
      </c>
      <c r="R624" s="252"/>
      <c r="S624" s="252">
        <v>526487.91599999997</v>
      </c>
      <c r="T624" s="252">
        <v>0</v>
      </c>
      <c r="U624" s="254">
        <v>526487.91599999997</v>
      </c>
      <c r="W624" s="220">
        <f t="shared" si="17"/>
        <v>0</v>
      </c>
    </row>
    <row r="625" spans="1:21" ht="3" customHeight="1" thickBot="1" x14ac:dyDescent="0.25">
      <c r="A625" s="78" t="s">
        <v>520</v>
      </c>
      <c r="B625" s="81"/>
      <c r="C625" s="81"/>
      <c r="D625" s="81"/>
      <c r="E625" s="81"/>
      <c r="F625" s="81"/>
      <c r="G625" s="81"/>
      <c r="H625" s="81"/>
      <c r="I625" s="81"/>
      <c r="J625" s="81"/>
      <c r="K625" s="81"/>
      <c r="L625" s="92"/>
      <c r="M625" s="255"/>
      <c r="N625" s="256"/>
      <c r="O625" s="257"/>
      <c r="P625" s="258"/>
      <c r="Q625" s="258"/>
      <c r="R625" s="255"/>
      <c r="S625" s="255"/>
      <c r="T625" s="255"/>
      <c r="U625" s="255">
        <v>526487.91599999997</v>
      </c>
    </row>
    <row r="626" spans="1:21" ht="25.5" customHeight="1" x14ac:dyDescent="0.2">
      <c r="A626" s="80"/>
      <c r="B626" s="93"/>
      <c r="C626" s="59"/>
      <c r="D626" s="59"/>
      <c r="E626" s="59"/>
      <c r="F626" s="59"/>
      <c r="G626" s="59"/>
      <c r="H626" s="59"/>
      <c r="I626" s="59"/>
      <c r="J626" s="59"/>
      <c r="K626" s="59"/>
      <c r="L626" s="56"/>
      <c r="M626" s="216"/>
      <c r="N626" s="216"/>
      <c r="O626" s="216"/>
      <c r="P626" s="216"/>
      <c r="Q626" s="216"/>
      <c r="R626" s="216"/>
      <c r="S626" s="216"/>
      <c r="T626" s="216"/>
      <c r="U626" s="216"/>
    </row>
  </sheetData>
  <mergeCells count="1213">
    <mergeCell ref="B19:L19"/>
    <mergeCell ref="Q19:R19"/>
    <mergeCell ref="B536:L536"/>
    <mergeCell ref="B537:L537"/>
    <mergeCell ref="B538:L538"/>
    <mergeCell ref="B539:L539"/>
    <mergeCell ref="B28:L28"/>
    <mergeCell ref="Q28:R28"/>
    <mergeCell ref="B29:L29"/>
    <mergeCell ref="Q29:R29"/>
    <mergeCell ref="B26:L26"/>
    <mergeCell ref="Q26:R26"/>
    <mergeCell ref="B27:L27"/>
    <mergeCell ref="Q27:R27"/>
    <mergeCell ref="B24:L24"/>
    <mergeCell ref="Q24:R24"/>
    <mergeCell ref="B25:L25"/>
    <mergeCell ref="Q25:R25"/>
    <mergeCell ref="B22:L22"/>
    <mergeCell ref="Q22:R22"/>
    <mergeCell ref="B23:L23"/>
    <mergeCell ref="Q23:R23"/>
    <mergeCell ref="B20:L20"/>
    <mergeCell ref="Q20:R20"/>
    <mergeCell ref="B21:L21"/>
    <mergeCell ref="Q21:R21"/>
    <mergeCell ref="B38:L38"/>
    <mergeCell ref="Q38:R38"/>
    <mergeCell ref="B39:L39"/>
    <mergeCell ref="Q39:R39"/>
    <mergeCell ref="B36:L36"/>
    <mergeCell ref="Q36:R36"/>
    <mergeCell ref="B37:L37"/>
    <mergeCell ref="Q37:R37"/>
    <mergeCell ref="B34:L34"/>
    <mergeCell ref="Q34:R34"/>
    <mergeCell ref="B35:L35"/>
    <mergeCell ref="Q35:R35"/>
    <mergeCell ref="B32:L32"/>
    <mergeCell ref="Q32:R32"/>
    <mergeCell ref="B33:L33"/>
    <mergeCell ref="Q33:R33"/>
    <mergeCell ref="B30:L30"/>
    <mergeCell ref="Q30:R30"/>
    <mergeCell ref="B31:L31"/>
    <mergeCell ref="Q31:R31"/>
    <mergeCell ref="B48:L48"/>
    <mergeCell ref="Q48:R48"/>
    <mergeCell ref="B49:L49"/>
    <mergeCell ref="Q49:R49"/>
    <mergeCell ref="B46:L46"/>
    <mergeCell ref="Q46:R46"/>
    <mergeCell ref="B47:L47"/>
    <mergeCell ref="Q47:R47"/>
    <mergeCell ref="B44:L44"/>
    <mergeCell ref="Q44:R44"/>
    <mergeCell ref="B45:L45"/>
    <mergeCell ref="Q45:R45"/>
    <mergeCell ref="B42:L42"/>
    <mergeCell ref="Q42:R42"/>
    <mergeCell ref="B43:L43"/>
    <mergeCell ref="Q43:R43"/>
    <mergeCell ref="B40:L40"/>
    <mergeCell ref="Q40:R40"/>
    <mergeCell ref="B41:L41"/>
    <mergeCell ref="Q41:R41"/>
    <mergeCell ref="B58:L58"/>
    <mergeCell ref="Q58:R58"/>
    <mergeCell ref="B59:L59"/>
    <mergeCell ref="Q59:R59"/>
    <mergeCell ref="B56:L56"/>
    <mergeCell ref="Q56:R56"/>
    <mergeCell ref="B57:L57"/>
    <mergeCell ref="Q57:R57"/>
    <mergeCell ref="B54:L54"/>
    <mergeCell ref="Q54:R54"/>
    <mergeCell ref="B55:L55"/>
    <mergeCell ref="Q55:R55"/>
    <mergeCell ref="B52:L52"/>
    <mergeCell ref="Q52:R52"/>
    <mergeCell ref="B53:L53"/>
    <mergeCell ref="Q53:R53"/>
    <mergeCell ref="B50:L50"/>
    <mergeCell ref="Q50:R50"/>
    <mergeCell ref="B51:L51"/>
    <mergeCell ref="Q51:R51"/>
    <mergeCell ref="B68:L68"/>
    <mergeCell ref="Q68:R68"/>
    <mergeCell ref="B69:L69"/>
    <mergeCell ref="Q69:R69"/>
    <mergeCell ref="B66:L66"/>
    <mergeCell ref="Q66:R66"/>
    <mergeCell ref="B67:L67"/>
    <mergeCell ref="Q67:R67"/>
    <mergeCell ref="B64:L64"/>
    <mergeCell ref="Q64:R64"/>
    <mergeCell ref="B65:L65"/>
    <mergeCell ref="Q65:R65"/>
    <mergeCell ref="B62:L62"/>
    <mergeCell ref="Q62:R62"/>
    <mergeCell ref="B63:L63"/>
    <mergeCell ref="Q63:R63"/>
    <mergeCell ref="B60:L60"/>
    <mergeCell ref="Q60:R60"/>
    <mergeCell ref="B61:L61"/>
    <mergeCell ref="Q61:R61"/>
    <mergeCell ref="B78:L78"/>
    <mergeCell ref="Q78:R78"/>
    <mergeCell ref="B79:L79"/>
    <mergeCell ref="Q79:R79"/>
    <mergeCell ref="B76:L76"/>
    <mergeCell ref="Q76:R76"/>
    <mergeCell ref="B77:L77"/>
    <mergeCell ref="Q77:R77"/>
    <mergeCell ref="B74:L74"/>
    <mergeCell ref="Q74:R74"/>
    <mergeCell ref="B75:L75"/>
    <mergeCell ref="Q75:R75"/>
    <mergeCell ref="B72:L72"/>
    <mergeCell ref="Q72:R72"/>
    <mergeCell ref="B73:L73"/>
    <mergeCell ref="Q73:R73"/>
    <mergeCell ref="B70:L70"/>
    <mergeCell ref="Q70:R70"/>
    <mergeCell ref="B71:L71"/>
    <mergeCell ref="Q71:R71"/>
    <mergeCell ref="B88:L88"/>
    <mergeCell ref="Q88:R88"/>
    <mergeCell ref="B89:L89"/>
    <mergeCell ref="Q89:R89"/>
    <mergeCell ref="B86:L86"/>
    <mergeCell ref="Q86:R86"/>
    <mergeCell ref="B87:L87"/>
    <mergeCell ref="Q87:R87"/>
    <mergeCell ref="B84:L84"/>
    <mergeCell ref="Q84:R84"/>
    <mergeCell ref="B85:L85"/>
    <mergeCell ref="Q85:R85"/>
    <mergeCell ref="B82:L82"/>
    <mergeCell ref="Q82:R82"/>
    <mergeCell ref="B83:L83"/>
    <mergeCell ref="Q83:R83"/>
    <mergeCell ref="B80:L80"/>
    <mergeCell ref="Q80:R80"/>
    <mergeCell ref="B81:L81"/>
    <mergeCell ref="Q81:R81"/>
    <mergeCell ref="B98:L98"/>
    <mergeCell ref="Q98:R98"/>
    <mergeCell ref="B99:L99"/>
    <mergeCell ref="Q99:R99"/>
    <mergeCell ref="B96:L96"/>
    <mergeCell ref="Q96:R96"/>
    <mergeCell ref="B97:L97"/>
    <mergeCell ref="Q97:R97"/>
    <mergeCell ref="B94:L94"/>
    <mergeCell ref="Q94:R94"/>
    <mergeCell ref="B95:L95"/>
    <mergeCell ref="Q95:R95"/>
    <mergeCell ref="B92:L92"/>
    <mergeCell ref="Q92:R92"/>
    <mergeCell ref="B93:L93"/>
    <mergeCell ref="Q93:R93"/>
    <mergeCell ref="B90:L90"/>
    <mergeCell ref="Q90:R90"/>
    <mergeCell ref="B91:L91"/>
    <mergeCell ref="Q91:R91"/>
    <mergeCell ref="B108:L108"/>
    <mergeCell ref="Q108:R108"/>
    <mergeCell ref="B109:L109"/>
    <mergeCell ref="Q109:R109"/>
    <mergeCell ref="B106:L106"/>
    <mergeCell ref="Q106:R106"/>
    <mergeCell ref="B107:L107"/>
    <mergeCell ref="Q107:R107"/>
    <mergeCell ref="B104:L104"/>
    <mergeCell ref="Q104:R104"/>
    <mergeCell ref="B105:L105"/>
    <mergeCell ref="Q105:R105"/>
    <mergeCell ref="B102:L102"/>
    <mergeCell ref="Q102:R102"/>
    <mergeCell ref="B103:L103"/>
    <mergeCell ref="Q103:R103"/>
    <mergeCell ref="B100:L100"/>
    <mergeCell ref="Q100:R100"/>
    <mergeCell ref="B101:L101"/>
    <mergeCell ref="Q101:R101"/>
    <mergeCell ref="B118:L118"/>
    <mergeCell ref="Q118:R118"/>
    <mergeCell ref="B119:L119"/>
    <mergeCell ref="Q119:R119"/>
    <mergeCell ref="B116:L116"/>
    <mergeCell ref="Q116:R116"/>
    <mergeCell ref="B117:L117"/>
    <mergeCell ref="Q117:R117"/>
    <mergeCell ref="B114:L114"/>
    <mergeCell ref="Q114:R114"/>
    <mergeCell ref="B115:L115"/>
    <mergeCell ref="Q115:R115"/>
    <mergeCell ref="B112:L112"/>
    <mergeCell ref="Q112:R112"/>
    <mergeCell ref="B113:L113"/>
    <mergeCell ref="Q113:R113"/>
    <mergeCell ref="B110:L110"/>
    <mergeCell ref="Q110:R110"/>
    <mergeCell ref="B111:L111"/>
    <mergeCell ref="Q111:R111"/>
    <mergeCell ref="B128:L128"/>
    <mergeCell ref="Q128:R128"/>
    <mergeCell ref="B129:L129"/>
    <mergeCell ref="Q129:R129"/>
    <mergeCell ref="B126:L126"/>
    <mergeCell ref="Q126:R126"/>
    <mergeCell ref="B127:L127"/>
    <mergeCell ref="Q127:R127"/>
    <mergeCell ref="B124:L124"/>
    <mergeCell ref="Q124:R124"/>
    <mergeCell ref="B125:L125"/>
    <mergeCell ref="Q125:R125"/>
    <mergeCell ref="B122:L122"/>
    <mergeCell ref="Q122:R122"/>
    <mergeCell ref="B123:L123"/>
    <mergeCell ref="Q123:R123"/>
    <mergeCell ref="B120:L120"/>
    <mergeCell ref="Q120:R120"/>
    <mergeCell ref="B121:L121"/>
    <mergeCell ref="Q121:R121"/>
    <mergeCell ref="B138:L138"/>
    <mergeCell ref="Q138:R138"/>
    <mergeCell ref="B139:L139"/>
    <mergeCell ref="Q139:R139"/>
    <mergeCell ref="B136:L136"/>
    <mergeCell ref="Q136:R136"/>
    <mergeCell ref="B137:L137"/>
    <mergeCell ref="Q137:R137"/>
    <mergeCell ref="B134:L134"/>
    <mergeCell ref="Q134:R134"/>
    <mergeCell ref="B135:L135"/>
    <mergeCell ref="Q135:R135"/>
    <mergeCell ref="B132:L132"/>
    <mergeCell ref="Q132:R132"/>
    <mergeCell ref="B133:L133"/>
    <mergeCell ref="Q133:R133"/>
    <mergeCell ref="B130:L130"/>
    <mergeCell ref="Q130:R130"/>
    <mergeCell ref="B131:L131"/>
    <mergeCell ref="Q131:R131"/>
    <mergeCell ref="B148:L148"/>
    <mergeCell ref="Q148:R148"/>
    <mergeCell ref="B149:L149"/>
    <mergeCell ref="Q149:R149"/>
    <mergeCell ref="B146:L146"/>
    <mergeCell ref="Q146:R146"/>
    <mergeCell ref="B147:L147"/>
    <mergeCell ref="Q147:R147"/>
    <mergeCell ref="B144:L144"/>
    <mergeCell ref="Q144:R144"/>
    <mergeCell ref="B145:L145"/>
    <mergeCell ref="Q145:R145"/>
    <mergeCell ref="B142:L142"/>
    <mergeCell ref="Q142:R142"/>
    <mergeCell ref="B143:L143"/>
    <mergeCell ref="Q143:R143"/>
    <mergeCell ref="B140:L140"/>
    <mergeCell ref="Q140:R140"/>
    <mergeCell ref="B141:L141"/>
    <mergeCell ref="Q141:R141"/>
    <mergeCell ref="B158:L158"/>
    <mergeCell ref="Q158:R158"/>
    <mergeCell ref="B159:L159"/>
    <mergeCell ref="Q159:R159"/>
    <mergeCell ref="B156:L156"/>
    <mergeCell ref="Q156:R156"/>
    <mergeCell ref="B157:L157"/>
    <mergeCell ref="Q157:R157"/>
    <mergeCell ref="B154:L154"/>
    <mergeCell ref="Q154:R154"/>
    <mergeCell ref="B155:L155"/>
    <mergeCell ref="Q155:R155"/>
    <mergeCell ref="B152:L152"/>
    <mergeCell ref="Q152:R152"/>
    <mergeCell ref="B153:L153"/>
    <mergeCell ref="Q153:R153"/>
    <mergeCell ref="B150:L150"/>
    <mergeCell ref="Q150:R150"/>
    <mergeCell ref="B151:L151"/>
    <mergeCell ref="Q151:R151"/>
    <mergeCell ref="B168:L168"/>
    <mergeCell ref="Q168:R168"/>
    <mergeCell ref="B169:L169"/>
    <mergeCell ref="Q169:R169"/>
    <mergeCell ref="B166:L166"/>
    <mergeCell ref="Q166:R166"/>
    <mergeCell ref="B167:L167"/>
    <mergeCell ref="Q167:R167"/>
    <mergeCell ref="B164:L164"/>
    <mergeCell ref="Q164:R164"/>
    <mergeCell ref="B165:L165"/>
    <mergeCell ref="Q165:R165"/>
    <mergeCell ref="B162:L162"/>
    <mergeCell ref="Q162:R162"/>
    <mergeCell ref="B163:L163"/>
    <mergeCell ref="Q163:R163"/>
    <mergeCell ref="B160:L160"/>
    <mergeCell ref="Q160:R160"/>
    <mergeCell ref="B161:L161"/>
    <mergeCell ref="Q161:R161"/>
    <mergeCell ref="B178:L178"/>
    <mergeCell ref="Q178:R178"/>
    <mergeCell ref="B179:L179"/>
    <mergeCell ref="Q179:R179"/>
    <mergeCell ref="B176:L176"/>
    <mergeCell ref="Q176:R176"/>
    <mergeCell ref="B177:L177"/>
    <mergeCell ref="Q177:R177"/>
    <mergeCell ref="B174:L174"/>
    <mergeCell ref="Q174:R174"/>
    <mergeCell ref="B175:L175"/>
    <mergeCell ref="Q175:R175"/>
    <mergeCell ref="B172:L172"/>
    <mergeCell ref="Q172:R172"/>
    <mergeCell ref="B173:L173"/>
    <mergeCell ref="Q173:R173"/>
    <mergeCell ref="B170:L170"/>
    <mergeCell ref="Q170:R170"/>
    <mergeCell ref="B171:L171"/>
    <mergeCell ref="Q171:R171"/>
    <mergeCell ref="B188:L188"/>
    <mergeCell ref="Q188:R188"/>
    <mergeCell ref="B189:L189"/>
    <mergeCell ref="Q189:R189"/>
    <mergeCell ref="B186:L186"/>
    <mergeCell ref="Q186:R186"/>
    <mergeCell ref="B187:L187"/>
    <mergeCell ref="Q187:R187"/>
    <mergeCell ref="B184:L184"/>
    <mergeCell ref="Q184:R184"/>
    <mergeCell ref="B185:L185"/>
    <mergeCell ref="Q185:R185"/>
    <mergeCell ref="B182:L182"/>
    <mergeCell ref="Q182:R182"/>
    <mergeCell ref="B183:L183"/>
    <mergeCell ref="Q183:R183"/>
    <mergeCell ref="B180:L180"/>
    <mergeCell ref="Q180:R180"/>
    <mergeCell ref="B181:L181"/>
    <mergeCell ref="Q181:R181"/>
    <mergeCell ref="B198:L198"/>
    <mergeCell ref="Q198:R198"/>
    <mergeCell ref="B199:L199"/>
    <mergeCell ref="Q199:R199"/>
    <mergeCell ref="B196:L196"/>
    <mergeCell ref="Q196:R196"/>
    <mergeCell ref="B197:L197"/>
    <mergeCell ref="Q197:R197"/>
    <mergeCell ref="B194:L194"/>
    <mergeCell ref="Q194:R194"/>
    <mergeCell ref="B195:L195"/>
    <mergeCell ref="Q195:R195"/>
    <mergeCell ref="B192:L192"/>
    <mergeCell ref="Q192:R192"/>
    <mergeCell ref="B193:L193"/>
    <mergeCell ref="Q193:R193"/>
    <mergeCell ref="B190:L190"/>
    <mergeCell ref="Q190:R190"/>
    <mergeCell ref="B191:L191"/>
    <mergeCell ref="Q191:R191"/>
    <mergeCell ref="B208:L208"/>
    <mergeCell ref="Q208:R208"/>
    <mergeCell ref="B209:L209"/>
    <mergeCell ref="Q209:R209"/>
    <mergeCell ref="B206:L206"/>
    <mergeCell ref="Q206:R206"/>
    <mergeCell ref="B207:L207"/>
    <mergeCell ref="Q207:R207"/>
    <mergeCell ref="B204:L204"/>
    <mergeCell ref="Q204:R204"/>
    <mergeCell ref="B205:L205"/>
    <mergeCell ref="Q205:R205"/>
    <mergeCell ref="B202:L202"/>
    <mergeCell ref="Q202:R202"/>
    <mergeCell ref="B203:L203"/>
    <mergeCell ref="Q203:R203"/>
    <mergeCell ref="B200:L200"/>
    <mergeCell ref="Q200:R200"/>
    <mergeCell ref="B201:L201"/>
    <mergeCell ref="Q201:R201"/>
    <mergeCell ref="B218:L218"/>
    <mergeCell ref="Q218:R218"/>
    <mergeCell ref="B219:L219"/>
    <mergeCell ref="Q219:R219"/>
    <mergeCell ref="B216:L216"/>
    <mergeCell ref="Q216:R216"/>
    <mergeCell ref="B217:L217"/>
    <mergeCell ref="Q217:R217"/>
    <mergeCell ref="B214:L214"/>
    <mergeCell ref="Q214:R214"/>
    <mergeCell ref="B215:L215"/>
    <mergeCell ref="Q215:R215"/>
    <mergeCell ref="B212:L212"/>
    <mergeCell ref="Q212:R212"/>
    <mergeCell ref="B213:L213"/>
    <mergeCell ref="Q213:R213"/>
    <mergeCell ref="B210:L210"/>
    <mergeCell ref="Q210:R210"/>
    <mergeCell ref="B211:L211"/>
    <mergeCell ref="Q211:R211"/>
    <mergeCell ref="B228:L228"/>
    <mergeCell ref="Q228:R228"/>
    <mergeCell ref="B229:L229"/>
    <mergeCell ref="Q229:R229"/>
    <mergeCell ref="B226:L226"/>
    <mergeCell ref="Q226:R226"/>
    <mergeCell ref="B227:L227"/>
    <mergeCell ref="Q227:R227"/>
    <mergeCell ref="B224:L224"/>
    <mergeCell ref="Q224:R224"/>
    <mergeCell ref="B225:L225"/>
    <mergeCell ref="Q225:R225"/>
    <mergeCell ref="B222:L222"/>
    <mergeCell ref="Q222:R222"/>
    <mergeCell ref="B223:L223"/>
    <mergeCell ref="Q223:R223"/>
    <mergeCell ref="B220:L220"/>
    <mergeCell ref="Q220:R220"/>
    <mergeCell ref="B221:L221"/>
    <mergeCell ref="Q221:R221"/>
    <mergeCell ref="B238:L238"/>
    <mergeCell ref="Q238:R238"/>
    <mergeCell ref="B239:L239"/>
    <mergeCell ref="Q239:R239"/>
    <mergeCell ref="B236:L236"/>
    <mergeCell ref="Q236:R236"/>
    <mergeCell ref="B237:L237"/>
    <mergeCell ref="Q237:R237"/>
    <mergeCell ref="B234:L234"/>
    <mergeCell ref="Q234:R234"/>
    <mergeCell ref="B235:L235"/>
    <mergeCell ref="Q235:R235"/>
    <mergeCell ref="B232:L232"/>
    <mergeCell ref="Q232:R232"/>
    <mergeCell ref="B233:L233"/>
    <mergeCell ref="Q233:R233"/>
    <mergeCell ref="B230:L230"/>
    <mergeCell ref="Q230:R230"/>
    <mergeCell ref="B231:L231"/>
    <mergeCell ref="Q231:R231"/>
    <mergeCell ref="B248:L248"/>
    <mergeCell ref="Q248:R248"/>
    <mergeCell ref="B249:L249"/>
    <mergeCell ref="Q249:R249"/>
    <mergeCell ref="B246:L246"/>
    <mergeCell ref="Q246:R246"/>
    <mergeCell ref="B247:L247"/>
    <mergeCell ref="Q247:R247"/>
    <mergeCell ref="B244:L244"/>
    <mergeCell ref="Q244:R244"/>
    <mergeCell ref="B245:L245"/>
    <mergeCell ref="Q245:R245"/>
    <mergeCell ref="B242:L242"/>
    <mergeCell ref="Q242:R242"/>
    <mergeCell ref="B243:L243"/>
    <mergeCell ref="Q243:R243"/>
    <mergeCell ref="B240:L240"/>
    <mergeCell ref="Q240:R240"/>
    <mergeCell ref="B241:L241"/>
    <mergeCell ref="Q241:R241"/>
    <mergeCell ref="B258:L258"/>
    <mergeCell ref="Q258:R258"/>
    <mergeCell ref="B259:L259"/>
    <mergeCell ref="Q259:R259"/>
    <mergeCell ref="B256:L256"/>
    <mergeCell ref="Q256:R256"/>
    <mergeCell ref="B257:L257"/>
    <mergeCell ref="Q257:R257"/>
    <mergeCell ref="B254:L254"/>
    <mergeCell ref="Q254:R254"/>
    <mergeCell ref="B255:L255"/>
    <mergeCell ref="Q255:R255"/>
    <mergeCell ref="B252:L252"/>
    <mergeCell ref="Q252:R252"/>
    <mergeCell ref="B253:L253"/>
    <mergeCell ref="Q253:R253"/>
    <mergeCell ref="B250:L250"/>
    <mergeCell ref="Q250:R250"/>
    <mergeCell ref="B251:L251"/>
    <mergeCell ref="Q251:R251"/>
    <mergeCell ref="B268:L268"/>
    <mergeCell ref="Q268:R268"/>
    <mergeCell ref="B269:L269"/>
    <mergeCell ref="Q269:R269"/>
    <mergeCell ref="B266:L266"/>
    <mergeCell ref="Q266:R266"/>
    <mergeCell ref="B267:L267"/>
    <mergeCell ref="Q267:R267"/>
    <mergeCell ref="B264:L264"/>
    <mergeCell ref="Q264:R264"/>
    <mergeCell ref="B265:L265"/>
    <mergeCell ref="Q265:R265"/>
    <mergeCell ref="B262:L262"/>
    <mergeCell ref="Q262:R262"/>
    <mergeCell ref="B263:L263"/>
    <mergeCell ref="Q263:R263"/>
    <mergeCell ref="B260:L260"/>
    <mergeCell ref="Q260:R260"/>
    <mergeCell ref="B261:L261"/>
    <mergeCell ref="Q261:R261"/>
    <mergeCell ref="B278:L278"/>
    <mergeCell ref="Q278:R278"/>
    <mergeCell ref="B279:L279"/>
    <mergeCell ref="Q279:R279"/>
    <mergeCell ref="B276:L276"/>
    <mergeCell ref="Q276:R276"/>
    <mergeCell ref="B277:L277"/>
    <mergeCell ref="Q277:R277"/>
    <mergeCell ref="B274:L274"/>
    <mergeCell ref="Q274:R274"/>
    <mergeCell ref="B275:L275"/>
    <mergeCell ref="Q275:R275"/>
    <mergeCell ref="B272:L272"/>
    <mergeCell ref="Q272:R272"/>
    <mergeCell ref="B273:L273"/>
    <mergeCell ref="Q273:R273"/>
    <mergeCell ref="B270:L270"/>
    <mergeCell ref="Q270:R270"/>
    <mergeCell ref="B271:L271"/>
    <mergeCell ref="Q271:R271"/>
    <mergeCell ref="B288:L288"/>
    <mergeCell ref="Q288:R288"/>
    <mergeCell ref="B289:L289"/>
    <mergeCell ref="Q289:R289"/>
    <mergeCell ref="B286:L286"/>
    <mergeCell ref="Q286:R286"/>
    <mergeCell ref="B287:L287"/>
    <mergeCell ref="Q287:R287"/>
    <mergeCell ref="B284:L284"/>
    <mergeCell ref="Q284:R284"/>
    <mergeCell ref="B285:L285"/>
    <mergeCell ref="Q285:R285"/>
    <mergeCell ref="B282:L282"/>
    <mergeCell ref="Q282:R282"/>
    <mergeCell ref="B283:L283"/>
    <mergeCell ref="Q283:R283"/>
    <mergeCell ref="B280:L280"/>
    <mergeCell ref="Q280:R280"/>
    <mergeCell ref="B281:L281"/>
    <mergeCell ref="Q281:R281"/>
    <mergeCell ref="B298:L298"/>
    <mergeCell ref="Q298:R298"/>
    <mergeCell ref="B299:L299"/>
    <mergeCell ref="Q299:R299"/>
    <mergeCell ref="B296:L296"/>
    <mergeCell ref="Q296:R296"/>
    <mergeCell ref="B297:L297"/>
    <mergeCell ref="Q297:R297"/>
    <mergeCell ref="B294:L294"/>
    <mergeCell ref="Q294:R294"/>
    <mergeCell ref="B295:L295"/>
    <mergeCell ref="Q295:R295"/>
    <mergeCell ref="B292:L292"/>
    <mergeCell ref="Q292:R292"/>
    <mergeCell ref="B293:L293"/>
    <mergeCell ref="Q293:R293"/>
    <mergeCell ref="B290:L290"/>
    <mergeCell ref="Q290:R290"/>
    <mergeCell ref="B291:L291"/>
    <mergeCell ref="Q291:R291"/>
    <mergeCell ref="B308:L308"/>
    <mergeCell ref="Q308:R308"/>
    <mergeCell ref="B309:L309"/>
    <mergeCell ref="Q309:R309"/>
    <mergeCell ref="B306:L306"/>
    <mergeCell ref="Q306:R306"/>
    <mergeCell ref="B307:L307"/>
    <mergeCell ref="Q307:R307"/>
    <mergeCell ref="B304:L304"/>
    <mergeCell ref="Q304:R304"/>
    <mergeCell ref="B305:L305"/>
    <mergeCell ref="Q305:R305"/>
    <mergeCell ref="B302:L302"/>
    <mergeCell ref="Q302:R302"/>
    <mergeCell ref="B303:L303"/>
    <mergeCell ref="Q303:R303"/>
    <mergeCell ref="B300:L300"/>
    <mergeCell ref="Q300:R300"/>
    <mergeCell ref="B301:L301"/>
    <mergeCell ref="Q301:R301"/>
    <mergeCell ref="B318:L318"/>
    <mergeCell ref="Q318:R318"/>
    <mergeCell ref="B319:L319"/>
    <mergeCell ref="Q319:R319"/>
    <mergeCell ref="B316:L316"/>
    <mergeCell ref="Q316:R316"/>
    <mergeCell ref="B317:L317"/>
    <mergeCell ref="Q317:R317"/>
    <mergeCell ref="B314:L314"/>
    <mergeCell ref="Q314:R314"/>
    <mergeCell ref="B315:L315"/>
    <mergeCell ref="Q315:R315"/>
    <mergeCell ref="B312:L312"/>
    <mergeCell ref="Q312:R312"/>
    <mergeCell ref="B313:L313"/>
    <mergeCell ref="Q313:R313"/>
    <mergeCell ref="B310:L310"/>
    <mergeCell ref="Q310:R310"/>
    <mergeCell ref="B311:L311"/>
    <mergeCell ref="Q311:R311"/>
    <mergeCell ref="B328:L328"/>
    <mergeCell ref="Q328:R328"/>
    <mergeCell ref="B329:L329"/>
    <mergeCell ref="Q329:R329"/>
    <mergeCell ref="B326:L326"/>
    <mergeCell ref="Q326:R326"/>
    <mergeCell ref="B327:L327"/>
    <mergeCell ref="Q327:R327"/>
    <mergeCell ref="B324:L324"/>
    <mergeCell ref="Q324:R324"/>
    <mergeCell ref="B325:L325"/>
    <mergeCell ref="Q325:R325"/>
    <mergeCell ref="B322:L322"/>
    <mergeCell ref="Q322:R322"/>
    <mergeCell ref="B323:L323"/>
    <mergeCell ref="Q323:R323"/>
    <mergeCell ref="B320:L320"/>
    <mergeCell ref="Q320:R320"/>
    <mergeCell ref="B321:L321"/>
    <mergeCell ref="Q321:R321"/>
    <mergeCell ref="B338:L338"/>
    <mergeCell ref="Q338:R338"/>
    <mergeCell ref="B339:L339"/>
    <mergeCell ref="Q339:R339"/>
    <mergeCell ref="B336:L336"/>
    <mergeCell ref="Q336:R336"/>
    <mergeCell ref="B337:L337"/>
    <mergeCell ref="Q337:R337"/>
    <mergeCell ref="B334:L334"/>
    <mergeCell ref="Q334:R334"/>
    <mergeCell ref="B335:L335"/>
    <mergeCell ref="Q335:R335"/>
    <mergeCell ref="B332:L332"/>
    <mergeCell ref="Q332:R332"/>
    <mergeCell ref="B333:L333"/>
    <mergeCell ref="Q333:R333"/>
    <mergeCell ref="B330:L330"/>
    <mergeCell ref="Q330:R330"/>
    <mergeCell ref="B331:L331"/>
    <mergeCell ref="Q331:R331"/>
    <mergeCell ref="B348:L348"/>
    <mergeCell ref="Q348:R348"/>
    <mergeCell ref="B349:L349"/>
    <mergeCell ref="Q349:R349"/>
    <mergeCell ref="B346:L346"/>
    <mergeCell ref="Q346:R346"/>
    <mergeCell ref="B347:L347"/>
    <mergeCell ref="Q347:R347"/>
    <mergeCell ref="B344:L344"/>
    <mergeCell ref="Q344:R344"/>
    <mergeCell ref="B345:L345"/>
    <mergeCell ref="Q345:R345"/>
    <mergeCell ref="B342:L342"/>
    <mergeCell ref="Q342:R342"/>
    <mergeCell ref="B343:L343"/>
    <mergeCell ref="Q343:R343"/>
    <mergeCell ref="B340:L340"/>
    <mergeCell ref="Q340:R340"/>
    <mergeCell ref="B341:L341"/>
    <mergeCell ref="Q341:R341"/>
    <mergeCell ref="B358:L358"/>
    <mergeCell ref="Q358:R358"/>
    <mergeCell ref="B359:L359"/>
    <mergeCell ref="Q359:R359"/>
    <mergeCell ref="B356:L356"/>
    <mergeCell ref="Q356:R356"/>
    <mergeCell ref="B357:L357"/>
    <mergeCell ref="Q357:R357"/>
    <mergeCell ref="B354:L354"/>
    <mergeCell ref="Q354:R354"/>
    <mergeCell ref="B355:L355"/>
    <mergeCell ref="Q355:R355"/>
    <mergeCell ref="B352:L352"/>
    <mergeCell ref="Q352:R352"/>
    <mergeCell ref="B353:L353"/>
    <mergeCell ref="Q353:R353"/>
    <mergeCell ref="B350:L350"/>
    <mergeCell ref="Q350:R350"/>
    <mergeCell ref="B351:L351"/>
    <mergeCell ref="Q351:R351"/>
    <mergeCell ref="B368:L368"/>
    <mergeCell ref="Q368:R368"/>
    <mergeCell ref="B369:L369"/>
    <mergeCell ref="Q369:R369"/>
    <mergeCell ref="B366:L366"/>
    <mergeCell ref="Q366:R366"/>
    <mergeCell ref="B367:L367"/>
    <mergeCell ref="Q367:R367"/>
    <mergeCell ref="B364:L364"/>
    <mergeCell ref="Q364:R364"/>
    <mergeCell ref="B365:L365"/>
    <mergeCell ref="Q365:R365"/>
    <mergeCell ref="B362:L362"/>
    <mergeCell ref="Q362:R362"/>
    <mergeCell ref="B363:L363"/>
    <mergeCell ref="Q363:R363"/>
    <mergeCell ref="B360:L360"/>
    <mergeCell ref="Q360:R360"/>
    <mergeCell ref="B361:L361"/>
    <mergeCell ref="Q361:R361"/>
    <mergeCell ref="B378:L378"/>
    <mergeCell ref="Q378:R378"/>
    <mergeCell ref="B379:L379"/>
    <mergeCell ref="Q379:R379"/>
    <mergeCell ref="B376:L376"/>
    <mergeCell ref="Q376:R376"/>
    <mergeCell ref="B377:L377"/>
    <mergeCell ref="Q377:R377"/>
    <mergeCell ref="B374:L374"/>
    <mergeCell ref="Q374:R374"/>
    <mergeCell ref="B375:L375"/>
    <mergeCell ref="Q375:R375"/>
    <mergeCell ref="B372:L372"/>
    <mergeCell ref="Q372:R372"/>
    <mergeCell ref="B373:L373"/>
    <mergeCell ref="Q373:R373"/>
    <mergeCell ref="B370:L370"/>
    <mergeCell ref="Q370:R370"/>
    <mergeCell ref="B371:L371"/>
    <mergeCell ref="Q371:R371"/>
    <mergeCell ref="B388:L388"/>
    <mergeCell ref="Q388:R388"/>
    <mergeCell ref="B389:L389"/>
    <mergeCell ref="Q389:R389"/>
    <mergeCell ref="B386:L386"/>
    <mergeCell ref="Q386:R386"/>
    <mergeCell ref="B387:L387"/>
    <mergeCell ref="Q387:R387"/>
    <mergeCell ref="B384:L384"/>
    <mergeCell ref="Q384:R384"/>
    <mergeCell ref="B385:L385"/>
    <mergeCell ref="Q385:R385"/>
    <mergeCell ref="B382:L382"/>
    <mergeCell ref="Q382:R382"/>
    <mergeCell ref="B383:L383"/>
    <mergeCell ref="Q383:R383"/>
    <mergeCell ref="B380:L380"/>
    <mergeCell ref="Q380:R380"/>
    <mergeCell ref="B381:L381"/>
    <mergeCell ref="Q381:R381"/>
    <mergeCell ref="B398:L398"/>
    <mergeCell ref="Q398:R398"/>
    <mergeCell ref="B399:L399"/>
    <mergeCell ref="Q399:R399"/>
    <mergeCell ref="B396:L396"/>
    <mergeCell ref="Q396:R396"/>
    <mergeCell ref="B397:L397"/>
    <mergeCell ref="Q397:R397"/>
    <mergeCell ref="B394:L394"/>
    <mergeCell ref="Q394:R394"/>
    <mergeCell ref="B395:L395"/>
    <mergeCell ref="Q395:R395"/>
    <mergeCell ref="B392:L392"/>
    <mergeCell ref="Q392:R392"/>
    <mergeCell ref="B393:L393"/>
    <mergeCell ref="Q393:R393"/>
    <mergeCell ref="B390:L390"/>
    <mergeCell ref="Q390:R390"/>
    <mergeCell ref="B391:L391"/>
    <mergeCell ref="Q391:R391"/>
    <mergeCell ref="B408:L408"/>
    <mergeCell ref="Q408:R408"/>
    <mergeCell ref="B409:L409"/>
    <mergeCell ref="Q409:R409"/>
    <mergeCell ref="B406:L406"/>
    <mergeCell ref="Q406:R406"/>
    <mergeCell ref="B407:L407"/>
    <mergeCell ref="Q407:R407"/>
    <mergeCell ref="B404:L404"/>
    <mergeCell ref="Q404:R404"/>
    <mergeCell ref="B405:L405"/>
    <mergeCell ref="Q405:R405"/>
    <mergeCell ref="B402:L402"/>
    <mergeCell ref="Q402:R402"/>
    <mergeCell ref="B403:L403"/>
    <mergeCell ref="Q403:R403"/>
    <mergeCell ref="B400:L400"/>
    <mergeCell ref="Q400:R400"/>
    <mergeCell ref="B401:L401"/>
    <mergeCell ref="Q401:R401"/>
    <mergeCell ref="B418:L418"/>
    <mergeCell ref="Q418:R418"/>
    <mergeCell ref="B419:L419"/>
    <mergeCell ref="Q419:R419"/>
    <mergeCell ref="B416:L416"/>
    <mergeCell ref="Q416:R416"/>
    <mergeCell ref="B417:L417"/>
    <mergeCell ref="Q417:R417"/>
    <mergeCell ref="B414:L414"/>
    <mergeCell ref="Q414:R414"/>
    <mergeCell ref="B415:L415"/>
    <mergeCell ref="Q415:R415"/>
    <mergeCell ref="B412:L412"/>
    <mergeCell ref="Q412:R412"/>
    <mergeCell ref="B413:L413"/>
    <mergeCell ref="Q413:R413"/>
    <mergeCell ref="B410:L410"/>
    <mergeCell ref="Q410:R410"/>
    <mergeCell ref="B411:L411"/>
    <mergeCell ref="Q411:R411"/>
    <mergeCell ref="B428:L428"/>
    <mergeCell ref="Q428:R428"/>
    <mergeCell ref="B429:L429"/>
    <mergeCell ref="Q429:R429"/>
    <mergeCell ref="B426:L426"/>
    <mergeCell ref="Q426:R426"/>
    <mergeCell ref="B427:L427"/>
    <mergeCell ref="Q427:R427"/>
    <mergeCell ref="B424:L424"/>
    <mergeCell ref="Q424:R424"/>
    <mergeCell ref="B425:L425"/>
    <mergeCell ref="Q425:R425"/>
    <mergeCell ref="B422:L422"/>
    <mergeCell ref="Q422:R422"/>
    <mergeCell ref="B423:L423"/>
    <mergeCell ref="Q423:R423"/>
    <mergeCell ref="B420:L420"/>
    <mergeCell ref="Q420:R420"/>
    <mergeCell ref="B421:L421"/>
    <mergeCell ref="Q421:R421"/>
    <mergeCell ref="B438:L438"/>
    <mergeCell ref="Q438:R438"/>
    <mergeCell ref="B439:L439"/>
    <mergeCell ref="Q439:R439"/>
    <mergeCell ref="B436:L436"/>
    <mergeCell ref="Q436:R436"/>
    <mergeCell ref="B437:L437"/>
    <mergeCell ref="Q437:R437"/>
    <mergeCell ref="B434:L434"/>
    <mergeCell ref="Q434:R434"/>
    <mergeCell ref="B435:L435"/>
    <mergeCell ref="Q435:R435"/>
    <mergeCell ref="B432:L432"/>
    <mergeCell ref="Q432:R432"/>
    <mergeCell ref="B433:L433"/>
    <mergeCell ref="Q433:R433"/>
    <mergeCell ref="B430:L430"/>
    <mergeCell ref="Q430:R430"/>
    <mergeCell ref="B431:L431"/>
    <mergeCell ref="Q431:R431"/>
    <mergeCell ref="B448:L448"/>
    <mergeCell ref="Q448:R448"/>
    <mergeCell ref="B449:L449"/>
    <mergeCell ref="Q449:R449"/>
    <mergeCell ref="B446:L446"/>
    <mergeCell ref="Q446:R446"/>
    <mergeCell ref="B447:L447"/>
    <mergeCell ref="Q447:R447"/>
    <mergeCell ref="B444:L444"/>
    <mergeCell ref="Q444:R444"/>
    <mergeCell ref="B445:L445"/>
    <mergeCell ref="Q445:R445"/>
    <mergeCell ref="B442:L442"/>
    <mergeCell ref="Q442:R442"/>
    <mergeCell ref="B443:L443"/>
    <mergeCell ref="Q443:R443"/>
    <mergeCell ref="B440:L440"/>
    <mergeCell ref="Q440:R440"/>
    <mergeCell ref="B441:L441"/>
    <mergeCell ref="Q441:R441"/>
    <mergeCell ref="B458:L458"/>
    <mergeCell ref="Q458:R458"/>
    <mergeCell ref="B459:L459"/>
    <mergeCell ref="Q459:R459"/>
    <mergeCell ref="B456:L456"/>
    <mergeCell ref="Q456:R456"/>
    <mergeCell ref="B457:L457"/>
    <mergeCell ref="Q457:R457"/>
    <mergeCell ref="B454:L454"/>
    <mergeCell ref="Q454:R454"/>
    <mergeCell ref="B455:L455"/>
    <mergeCell ref="Q455:R455"/>
    <mergeCell ref="B452:L452"/>
    <mergeCell ref="Q452:R452"/>
    <mergeCell ref="B453:L453"/>
    <mergeCell ref="Q453:R453"/>
    <mergeCell ref="B450:L450"/>
    <mergeCell ref="Q450:R450"/>
    <mergeCell ref="B451:L451"/>
    <mergeCell ref="Q451:R451"/>
    <mergeCell ref="B468:L468"/>
    <mergeCell ref="Q468:R468"/>
    <mergeCell ref="B469:L469"/>
    <mergeCell ref="Q469:R469"/>
    <mergeCell ref="B466:L466"/>
    <mergeCell ref="Q466:R466"/>
    <mergeCell ref="B467:L467"/>
    <mergeCell ref="Q467:R467"/>
    <mergeCell ref="B464:L464"/>
    <mergeCell ref="Q464:R464"/>
    <mergeCell ref="B465:L465"/>
    <mergeCell ref="Q465:R465"/>
    <mergeCell ref="B462:L462"/>
    <mergeCell ref="Q462:R462"/>
    <mergeCell ref="B463:L463"/>
    <mergeCell ref="Q463:R463"/>
    <mergeCell ref="B460:L460"/>
    <mergeCell ref="Q460:R460"/>
    <mergeCell ref="B461:L461"/>
    <mergeCell ref="Q461:R461"/>
    <mergeCell ref="B478:L478"/>
    <mergeCell ref="Q478:R478"/>
    <mergeCell ref="B479:L479"/>
    <mergeCell ref="Q479:R479"/>
    <mergeCell ref="B476:L476"/>
    <mergeCell ref="Q476:R476"/>
    <mergeCell ref="B477:L477"/>
    <mergeCell ref="Q477:R477"/>
    <mergeCell ref="B474:L474"/>
    <mergeCell ref="Q474:R474"/>
    <mergeCell ref="B475:L475"/>
    <mergeCell ref="Q475:R475"/>
    <mergeCell ref="B472:L472"/>
    <mergeCell ref="Q472:R472"/>
    <mergeCell ref="B473:L473"/>
    <mergeCell ref="Q473:R473"/>
    <mergeCell ref="B470:L470"/>
    <mergeCell ref="Q470:R470"/>
    <mergeCell ref="B471:L471"/>
    <mergeCell ref="Q471:R471"/>
    <mergeCell ref="B488:L488"/>
    <mergeCell ref="Q488:R488"/>
    <mergeCell ref="B489:L489"/>
    <mergeCell ref="Q489:R489"/>
    <mergeCell ref="B486:L486"/>
    <mergeCell ref="Q486:R486"/>
    <mergeCell ref="B487:L487"/>
    <mergeCell ref="Q487:R487"/>
    <mergeCell ref="B484:L484"/>
    <mergeCell ref="Q484:R484"/>
    <mergeCell ref="B485:L485"/>
    <mergeCell ref="Q485:R485"/>
    <mergeCell ref="B482:L482"/>
    <mergeCell ref="Q482:R482"/>
    <mergeCell ref="B483:L483"/>
    <mergeCell ref="Q483:R483"/>
    <mergeCell ref="B480:L480"/>
    <mergeCell ref="Q480:R480"/>
    <mergeCell ref="B481:L481"/>
    <mergeCell ref="Q481:R481"/>
    <mergeCell ref="B498:L498"/>
    <mergeCell ref="Q498:R498"/>
    <mergeCell ref="B499:L499"/>
    <mergeCell ref="Q499:R499"/>
    <mergeCell ref="B496:L496"/>
    <mergeCell ref="Q496:R496"/>
    <mergeCell ref="B497:L497"/>
    <mergeCell ref="Q497:R497"/>
    <mergeCell ref="B494:L494"/>
    <mergeCell ref="Q494:R494"/>
    <mergeCell ref="B495:L495"/>
    <mergeCell ref="Q495:R495"/>
    <mergeCell ref="B492:L492"/>
    <mergeCell ref="Q492:R492"/>
    <mergeCell ref="B493:L493"/>
    <mergeCell ref="Q493:R493"/>
    <mergeCell ref="B490:L490"/>
    <mergeCell ref="Q490:R490"/>
    <mergeCell ref="B491:L491"/>
    <mergeCell ref="Q491:R491"/>
    <mergeCell ref="B508:L508"/>
    <mergeCell ref="Q508:R508"/>
    <mergeCell ref="B509:L509"/>
    <mergeCell ref="Q509:R509"/>
    <mergeCell ref="B506:L506"/>
    <mergeCell ref="Q506:R506"/>
    <mergeCell ref="B507:L507"/>
    <mergeCell ref="Q507:R507"/>
    <mergeCell ref="B504:L504"/>
    <mergeCell ref="Q504:R504"/>
    <mergeCell ref="B505:L505"/>
    <mergeCell ref="Q505:R505"/>
    <mergeCell ref="B502:L502"/>
    <mergeCell ref="Q502:R502"/>
    <mergeCell ref="B503:L503"/>
    <mergeCell ref="Q503:R503"/>
    <mergeCell ref="B500:L500"/>
    <mergeCell ref="Q500:R500"/>
    <mergeCell ref="B501:L501"/>
    <mergeCell ref="Q501:R501"/>
    <mergeCell ref="B518:L518"/>
    <mergeCell ref="Q518:R518"/>
    <mergeCell ref="B519:L519"/>
    <mergeCell ref="Q519:R519"/>
    <mergeCell ref="B516:L516"/>
    <mergeCell ref="Q516:R516"/>
    <mergeCell ref="B517:L517"/>
    <mergeCell ref="Q517:R517"/>
    <mergeCell ref="B514:L514"/>
    <mergeCell ref="Q514:R514"/>
    <mergeCell ref="B515:L515"/>
    <mergeCell ref="Q515:R515"/>
    <mergeCell ref="B512:L512"/>
    <mergeCell ref="Q512:R512"/>
    <mergeCell ref="B513:L513"/>
    <mergeCell ref="Q513:R513"/>
    <mergeCell ref="B510:L510"/>
    <mergeCell ref="Q510:R510"/>
    <mergeCell ref="B511:L511"/>
    <mergeCell ref="Q511:R511"/>
    <mergeCell ref="B528:L528"/>
    <mergeCell ref="Q528:R528"/>
    <mergeCell ref="B529:L529"/>
    <mergeCell ref="Q529:R529"/>
    <mergeCell ref="B526:L526"/>
    <mergeCell ref="Q526:R526"/>
    <mergeCell ref="B527:L527"/>
    <mergeCell ref="Q527:R527"/>
    <mergeCell ref="B524:L524"/>
    <mergeCell ref="Q524:R524"/>
    <mergeCell ref="B525:L525"/>
    <mergeCell ref="Q525:R525"/>
    <mergeCell ref="B522:L522"/>
    <mergeCell ref="Q522:R522"/>
    <mergeCell ref="B523:L523"/>
    <mergeCell ref="Q523:R523"/>
    <mergeCell ref="B520:L520"/>
    <mergeCell ref="Q520:R520"/>
    <mergeCell ref="B521:L521"/>
    <mergeCell ref="Q521:R521"/>
    <mergeCell ref="B542:L542"/>
    <mergeCell ref="Q542:R542"/>
    <mergeCell ref="B547:L547"/>
    <mergeCell ref="Q547:R547"/>
    <mergeCell ref="B540:L540"/>
    <mergeCell ref="Q540:R540"/>
    <mergeCell ref="B541:L541"/>
    <mergeCell ref="Q541:R541"/>
    <mergeCell ref="B534:L534"/>
    <mergeCell ref="Q534:R534"/>
    <mergeCell ref="B535:L535"/>
    <mergeCell ref="Q535:R535"/>
    <mergeCell ref="B532:L532"/>
    <mergeCell ref="Q532:R532"/>
    <mergeCell ref="B533:L533"/>
    <mergeCell ref="Q533:R533"/>
    <mergeCell ref="B530:L530"/>
    <mergeCell ref="Q530:R530"/>
    <mergeCell ref="B531:L531"/>
    <mergeCell ref="Q531:R531"/>
    <mergeCell ref="B556:L556"/>
    <mergeCell ref="Q556:R556"/>
    <mergeCell ref="B557:L557"/>
    <mergeCell ref="Q557:R557"/>
    <mergeCell ref="B554:L554"/>
    <mergeCell ref="Q554:R554"/>
    <mergeCell ref="B555:L555"/>
    <mergeCell ref="Q555:R555"/>
    <mergeCell ref="B552:L552"/>
    <mergeCell ref="Q552:R552"/>
    <mergeCell ref="B553:L553"/>
    <mergeCell ref="Q553:R553"/>
    <mergeCell ref="B550:L550"/>
    <mergeCell ref="Q550:R550"/>
    <mergeCell ref="B551:L551"/>
    <mergeCell ref="Q551:R551"/>
    <mergeCell ref="B548:L548"/>
    <mergeCell ref="Q548:R548"/>
    <mergeCell ref="B549:L549"/>
    <mergeCell ref="Q549:R549"/>
    <mergeCell ref="B566:L566"/>
    <mergeCell ref="Q566:R566"/>
    <mergeCell ref="B567:L567"/>
    <mergeCell ref="Q567:R567"/>
    <mergeCell ref="B564:L564"/>
    <mergeCell ref="Q564:R564"/>
    <mergeCell ref="B565:L565"/>
    <mergeCell ref="Q565:R565"/>
    <mergeCell ref="B562:L562"/>
    <mergeCell ref="Q562:R562"/>
    <mergeCell ref="B563:L563"/>
    <mergeCell ref="Q563:R563"/>
    <mergeCell ref="B560:L560"/>
    <mergeCell ref="Q560:R560"/>
    <mergeCell ref="B561:L561"/>
    <mergeCell ref="Q561:R561"/>
    <mergeCell ref="B558:L558"/>
    <mergeCell ref="Q558:R558"/>
    <mergeCell ref="B559:L559"/>
    <mergeCell ref="Q559:R559"/>
    <mergeCell ref="B576:L576"/>
    <mergeCell ref="Q576:R576"/>
    <mergeCell ref="B577:L577"/>
    <mergeCell ref="Q577:R577"/>
    <mergeCell ref="B574:L574"/>
    <mergeCell ref="Q574:R574"/>
    <mergeCell ref="B575:L575"/>
    <mergeCell ref="Q575:R575"/>
    <mergeCell ref="B572:L572"/>
    <mergeCell ref="Q572:R572"/>
    <mergeCell ref="B573:L573"/>
    <mergeCell ref="Q573:R573"/>
    <mergeCell ref="B570:L570"/>
    <mergeCell ref="Q570:R570"/>
    <mergeCell ref="B571:L571"/>
    <mergeCell ref="Q571:R571"/>
    <mergeCell ref="B568:L568"/>
    <mergeCell ref="Q568:R568"/>
    <mergeCell ref="B569:L569"/>
    <mergeCell ref="Q569:R569"/>
    <mergeCell ref="B586:L586"/>
    <mergeCell ref="Q586:R586"/>
    <mergeCell ref="B587:L587"/>
    <mergeCell ref="Q587:R587"/>
    <mergeCell ref="B584:L584"/>
    <mergeCell ref="Q584:R584"/>
    <mergeCell ref="B585:L585"/>
    <mergeCell ref="Q585:R585"/>
    <mergeCell ref="B582:L582"/>
    <mergeCell ref="Q582:R582"/>
    <mergeCell ref="B583:L583"/>
    <mergeCell ref="Q583:R583"/>
    <mergeCell ref="B580:L580"/>
    <mergeCell ref="Q580:R580"/>
    <mergeCell ref="B581:L581"/>
    <mergeCell ref="Q581:R581"/>
    <mergeCell ref="B578:L578"/>
    <mergeCell ref="Q578:R578"/>
    <mergeCell ref="B579:L579"/>
    <mergeCell ref="Q579:R579"/>
    <mergeCell ref="B596:L596"/>
    <mergeCell ref="Q596:R596"/>
    <mergeCell ref="B597:L597"/>
    <mergeCell ref="Q597:R597"/>
    <mergeCell ref="B594:L594"/>
    <mergeCell ref="Q594:R594"/>
    <mergeCell ref="B595:L595"/>
    <mergeCell ref="Q595:R595"/>
    <mergeCell ref="B592:L592"/>
    <mergeCell ref="Q592:R592"/>
    <mergeCell ref="B593:L593"/>
    <mergeCell ref="Q593:R593"/>
    <mergeCell ref="B590:L590"/>
    <mergeCell ref="Q590:R590"/>
    <mergeCell ref="B591:L591"/>
    <mergeCell ref="Q591:R591"/>
    <mergeCell ref="B588:L588"/>
    <mergeCell ref="Q588:R588"/>
    <mergeCell ref="B589:L589"/>
    <mergeCell ref="Q589:R589"/>
    <mergeCell ref="Q607:R607"/>
    <mergeCell ref="B604:L604"/>
    <mergeCell ref="Q604:R604"/>
    <mergeCell ref="B605:L605"/>
    <mergeCell ref="Q605:R605"/>
    <mergeCell ref="B602:L602"/>
    <mergeCell ref="Q602:R602"/>
    <mergeCell ref="B603:L603"/>
    <mergeCell ref="Q603:R603"/>
    <mergeCell ref="B600:L600"/>
    <mergeCell ref="Q600:R600"/>
    <mergeCell ref="B601:L601"/>
    <mergeCell ref="Q601:R601"/>
    <mergeCell ref="B598:L598"/>
    <mergeCell ref="Q598:R598"/>
    <mergeCell ref="B599:L599"/>
    <mergeCell ref="Q599:R599"/>
    <mergeCell ref="B623:L623"/>
    <mergeCell ref="Q623:R623"/>
    <mergeCell ref="B620:L620"/>
    <mergeCell ref="Q620:R620"/>
    <mergeCell ref="B621:L621"/>
    <mergeCell ref="Q621:R621"/>
    <mergeCell ref="B618:L618"/>
    <mergeCell ref="Q618:R618"/>
    <mergeCell ref="B619:L619"/>
    <mergeCell ref="Q619:R619"/>
    <mergeCell ref="B616:L616"/>
    <mergeCell ref="Q616:R616"/>
    <mergeCell ref="B617:L617"/>
    <mergeCell ref="Q617:R617"/>
    <mergeCell ref="B614:L614"/>
    <mergeCell ref="Q614:R614"/>
    <mergeCell ref="B615:L615"/>
    <mergeCell ref="Q615:R615"/>
    <mergeCell ref="N1:W1"/>
    <mergeCell ref="M2:W3"/>
    <mergeCell ref="L4:W4"/>
    <mergeCell ref="L5:W5"/>
    <mergeCell ref="L6:W6"/>
    <mergeCell ref="A9:W9"/>
    <mergeCell ref="A8:W8"/>
    <mergeCell ref="B543:L543"/>
    <mergeCell ref="Q543:R543"/>
    <mergeCell ref="B544:L544"/>
    <mergeCell ref="Q544:R544"/>
    <mergeCell ref="B545:L545"/>
    <mergeCell ref="Q545:R545"/>
    <mergeCell ref="B546:L546"/>
    <mergeCell ref="Q546:R546"/>
    <mergeCell ref="B622:L622"/>
    <mergeCell ref="Q622:R622"/>
    <mergeCell ref="B612:L612"/>
    <mergeCell ref="Q612:R612"/>
    <mergeCell ref="B613:L613"/>
    <mergeCell ref="Q613:R613"/>
    <mergeCell ref="B610:L610"/>
    <mergeCell ref="Q610:R610"/>
    <mergeCell ref="B611:L611"/>
    <mergeCell ref="Q611:R611"/>
    <mergeCell ref="B608:L608"/>
    <mergeCell ref="Q608:R608"/>
    <mergeCell ref="B609:L609"/>
    <mergeCell ref="Q609:R609"/>
    <mergeCell ref="B606:L606"/>
    <mergeCell ref="Q606:R606"/>
    <mergeCell ref="B607:L607"/>
  </mergeCells>
  <pageMargins left="0.39370078740157499" right="0.39370078740157499" top="0.999999984981507" bottom="0.999999984981507" header="0.499999992490753" footer="0.499999992490753"/>
  <pageSetup paperSize="9" scale="96" fitToHeight="0" orientation="portrait" r:id="rId1"/>
  <headerFooter alignWithMargins="0">
    <oddHeader>&amp;CСтраница &amp;P из &amp;N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I657"/>
  <sheetViews>
    <sheetView showGridLines="0" topLeftCell="A137" zoomScaleNormal="100" workbookViewId="0">
      <selection activeCell="AL189" sqref="AK188:AL189"/>
    </sheetView>
  </sheetViews>
  <sheetFormatPr defaultColWidth="9.140625" defaultRowHeight="12.75" x14ac:dyDescent="0.2"/>
  <cols>
    <col min="1" max="1" width="1.7109375" style="157" customWidth="1"/>
    <col min="2" max="12" width="0" style="157" hidden="1" customWidth="1"/>
    <col min="13" max="13" width="44" style="157" customWidth="1"/>
    <col min="14" max="14" width="6.28515625" style="168" customWidth="1"/>
    <col min="15" max="16" width="5.7109375" style="168" customWidth="1"/>
    <col min="17" max="17" width="9.5703125" style="168" customWidth="1"/>
    <col min="18" max="18" width="5.7109375" style="168" customWidth="1"/>
    <col min="19" max="20" width="0" style="168" hidden="1" customWidth="1"/>
    <col min="21" max="21" width="12.140625" style="168" customWidth="1"/>
    <col min="22" max="32" width="9.140625" style="168" hidden="1" customWidth="1"/>
    <col min="33" max="33" width="11.5703125" style="168" customWidth="1"/>
    <col min="34" max="34" width="9.140625" style="168" customWidth="1"/>
    <col min="35" max="254" width="9.140625" style="157" customWidth="1"/>
    <col min="255" max="16384" width="9.140625" style="157"/>
  </cols>
  <sheetData>
    <row r="1" spans="1:34" s="154" customFormat="1" ht="12.75" customHeight="1" x14ac:dyDescent="0.2">
      <c r="A1" s="45"/>
      <c r="B1" s="45"/>
      <c r="C1" s="45"/>
      <c r="D1" s="45"/>
      <c r="E1" s="45"/>
      <c r="F1" s="45"/>
      <c r="G1" s="46"/>
      <c r="H1" s="152"/>
      <c r="I1" s="152"/>
      <c r="J1" s="152"/>
      <c r="K1" s="152"/>
      <c r="L1" s="152"/>
      <c r="M1" s="153"/>
      <c r="N1" s="265"/>
      <c r="O1" s="265"/>
      <c r="P1" s="266"/>
      <c r="Q1" s="266"/>
      <c r="R1" s="265"/>
      <c r="S1" s="265"/>
      <c r="T1" s="266" t="s">
        <v>532</v>
      </c>
      <c r="U1" s="492" t="s">
        <v>617</v>
      </c>
      <c r="V1" s="492"/>
      <c r="W1" s="492"/>
      <c r="X1" s="492"/>
      <c r="Y1" s="492"/>
      <c r="Z1" s="492"/>
      <c r="AA1" s="492"/>
      <c r="AB1" s="492"/>
      <c r="AC1" s="492"/>
      <c r="AD1" s="492"/>
      <c r="AE1" s="492"/>
      <c r="AF1" s="492"/>
      <c r="AG1" s="492"/>
      <c r="AH1" s="492"/>
    </row>
    <row r="2" spans="1:34" s="154" customFormat="1" ht="4.5" customHeight="1" x14ac:dyDescent="0.2">
      <c r="A2" s="49"/>
      <c r="B2" s="50"/>
      <c r="C2" s="50"/>
      <c r="D2" s="50"/>
      <c r="E2" s="50"/>
      <c r="F2" s="50"/>
      <c r="G2" s="46"/>
      <c r="H2" s="152"/>
      <c r="I2" s="152"/>
      <c r="J2" s="152"/>
      <c r="K2" s="152"/>
      <c r="L2" s="152"/>
      <c r="M2" s="153"/>
      <c r="N2" s="265"/>
      <c r="O2" s="265"/>
      <c r="P2" s="493" t="s">
        <v>127</v>
      </c>
      <c r="Q2" s="493"/>
      <c r="R2" s="493"/>
      <c r="S2" s="493"/>
      <c r="T2" s="493"/>
      <c r="U2" s="493"/>
      <c r="V2" s="493"/>
      <c r="W2" s="493"/>
      <c r="X2" s="493"/>
      <c r="Y2" s="493"/>
      <c r="Z2" s="493"/>
      <c r="AA2" s="493"/>
      <c r="AB2" s="493"/>
      <c r="AC2" s="493"/>
      <c r="AD2" s="493"/>
      <c r="AE2" s="493"/>
      <c r="AF2" s="493"/>
      <c r="AG2" s="493"/>
      <c r="AH2" s="493"/>
    </row>
    <row r="3" spans="1:34" s="154" customFormat="1" ht="9" customHeight="1" x14ac:dyDescent="0.2">
      <c r="A3" s="51"/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139"/>
      <c r="N3" s="267"/>
      <c r="O3" s="267"/>
      <c r="P3" s="493"/>
      <c r="Q3" s="493"/>
      <c r="R3" s="493"/>
      <c r="S3" s="493"/>
      <c r="T3" s="493"/>
      <c r="U3" s="493"/>
      <c r="V3" s="493"/>
      <c r="W3" s="493"/>
      <c r="X3" s="493"/>
      <c r="Y3" s="493"/>
      <c r="Z3" s="493"/>
      <c r="AA3" s="493"/>
      <c r="AB3" s="493"/>
      <c r="AC3" s="493"/>
      <c r="AD3" s="493"/>
      <c r="AE3" s="493"/>
      <c r="AF3" s="493"/>
      <c r="AG3" s="493"/>
      <c r="AH3" s="493"/>
    </row>
    <row r="4" spans="1:34" s="154" customFormat="1" ht="13.5" customHeight="1" x14ac:dyDescent="0.2">
      <c r="A4" s="51"/>
      <c r="B4" s="51"/>
      <c r="C4" s="51"/>
      <c r="D4" s="51"/>
      <c r="E4" s="51"/>
      <c r="F4" s="51"/>
      <c r="G4" s="51"/>
      <c r="H4" s="51"/>
      <c r="I4" s="51"/>
      <c r="J4" s="51"/>
      <c r="K4" s="51"/>
      <c r="L4" s="51"/>
      <c r="M4" s="494" t="s">
        <v>167</v>
      </c>
      <c r="N4" s="494"/>
      <c r="O4" s="494"/>
      <c r="P4" s="494"/>
      <c r="Q4" s="494"/>
      <c r="R4" s="494"/>
      <c r="S4" s="494"/>
      <c r="T4" s="494"/>
      <c r="U4" s="494"/>
      <c r="V4" s="494"/>
      <c r="W4" s="494"/>
      <c r="X4" s="494"/>
      <c r="Y4" s="494"/>
      <c r="Z4" s="494"/>
      <c r="AA4" s="494"/>
      <c r="AB4" s="494"/>
      <c r="AC4" s="494"/>
      <c r="AD4" s="494"/>
      <c r="AE4" s="494"/>
      <c r="AF4" s="494"/>
      <c r="AG4" s="494"/>
      <c r="AH4" s="494"/>
    </row>
    <row r="5" spans="1:34" s="154" customFormat="1" ht="12.75" customHeight="1" x14ac:dyDescent="0.2">
      <c r="A5" s="51"/>
      <c r="B5" s="51"/>
      <c r="C5" s="51"/>
      <c r="D5" s="51"/>
      <c r="E5" s="51"/>
      <c r="F5" s="51"/>
      <c r="G5" s="51"/>
      <c r="H5" s="51"/>
      <c r="I5" s="51"/>
      <c r="J5" s="51"/>
      <c r="K5" s="51"/>
      <c r="L5" s="51"/>
      <c r="M5" s="494" t="s">
        <v>531</v>
      </c>
      <c r="N5" s="494"/>
      <c r="O5" s="494"/>
      <c r="P5" s="494"/>
      <c r="Q5" s="494"/>
      <c r="R5" s="494"/>
      <c r="S5" s="494"/>
      <c r="T5" s="494"/>
      <c r="U5" s="494"/>
      <c r="V5" s="494"/>
      <c r="W5" s="494"/>
      <c r="X5" s="494"/>
      <c r="Y5" s="494"/>
      <c r="Z5" s="494"/>
      <c r="AA5" s="494"/>
      <c r="AB5" s="494"/>
      <c r="AC5" s="494"/>
      <c r="AD5" s="494"/>
      <c r="AE5" s="494"/>
      <c r="AF5" s="494"/>
      <c r="AG5" s="494"/>
      <c r="AH5" s="494"/>
    </row>
    <row r="6" spans="1:34" s="154" customFormat="1" ht="12.75" customHeight="1" x14ac:dyDescent="0.2">
      <c r="A6" s="152"/>
      <c r="B6" s="152"/>
      <c r="C6" s="152"/>
      <c r="D6" s="152"/>
      <c r="E6" s="152"/>
      <c r="F6" s="152"/>
      <c r="G6" s="152"/>
      <c r="H6" s="152"/>
      <c r="I6" s="152"/>
      <c r="J6" s="152"/>
      <c r="K6" s="152"/>
      <c r="L6" s="152"/>
      <c r="M6" s="519" t="s">
        <v>533</v>
      </c>
      <c r="N6" s="519"/>
      <c r="O6" s="519"/>
      <c r="P6" s="519"/>
      <c r="Q6" s="519"/>
      <c r="R6" s="519"/>
      <c r="S6" s="519"/>
      <c r="T6" s="519"/>
      <c r="U6" s="519"/>
      <c r="V6" s="519"/>
      <c r="W6" s="519"/>
      <c r="X6" s="519"/>
      <c r="Y6" s="519"/>
      <c r="Z6" s="519"/>
      <c r="AA6" s="519"/>
      <c r="AB6" s="519"/>
      <c r="AC6" s="519"/>
      <c r="AD6" s="519"/>
      <c r="AE6" s="519"/>
      <c r="AF6" s="519"/>
      <c r="AG6" s="519"/>
      <c r="AH6" s="519"/>
    </row>
    <row r="7" spans="1:34" s="156" customFormat="1" ht="12.75" customHeight="1" x14ac:dyDescent="0.2">
      <c r="A7" s="155"/>
      <c r="B7" s="155"/>
      <c r="C7" s="155"/>
      <c r="D7" s="155"/>
      <c r="E7" s="155"/>
      <c r="F7" s="155"/>
      <c r="G7" s="155"/>
      <c r="H7" s="155"/>
      <c r="I7" s="155"/>
      <c r="J7" s="155"/>
      <c r="K7" s="155"/>
      <c r="L7" s="155"/>
      <c r="M7" s="155"/>
      <c r="N7" s="261"/>
      <c r="O7" s="261"/>
      <c r="P7" s="261"/>
      <c r="Q7" s="261"/>
      <c r="R7" s="261"/>
      <c r="S7" s="261"/>
      <c r="T7" s="261"/>
      <c r="U7" s="261"/>
      <c r="V7" s="261"/>
      <c r="W7" s="261"/>
      <c r="X7" s="261"/>
      <c r="Y7" s="261"/>
      <c r="Z7" s="261"/>
      <c r="AA7" s="261"/>
      <c r="AB7" s="261"/>
      <c r="AC7" s="261"/>
      <c r="AD7" s="261"/>
      <c r="AE7" s="261"/>
      <c r="AF7" s="167"/>
      <c r="AG7" s="167"/>
      <c r="AH7" s="167"/>
    </row>
    <row r="8" spans="1:34" s="156" customFormat="1" ht="12.75" customHeight="1" x14ac:dyDescent="0.2">
      <c r="A8" s="520" t="s">
        <v>521</v>
      </c>
      <c r="B8" s="520"/>
      <c r="C8" s="520"/>
      <c r="D8" s="520"/>
      <c r="E8" s="520"/>
      <c r="F8" s="520"/>
      <c r="G8" s="520"/>
      <c r="H8" s="520"/>
      <c r="I8" s="520"/>
      <c r="J8" s="520"/>
      <c r="K8" s="520"/>
      <c r="L8" s="520"/>
      <c r="M8" s="520"/>
      <c r="N8" s="520"/>
      <c r="O8" s="520"/>
      <c r="P8" s="520"/>
      <c r="Q8" s="520"/>
      <c r="R8" s="520"/>
      <c r="S8" s="520"/>
      <c r="T8" s="520"/>
      <c r="U8" s="520"/>
      <c r="V8" s="520"/>
      <c r="W8" s="520"/>
      <c r="X8" s="520"/>
      <c r="Y8" s="520"/>
      <c r="Z8" s="520"/>
      <c r="AA8" s="520"/>
      <c r="AB8" s="520"/>
      <c r="AC8" s="520"/>
      <c r="AD8" s="520"/>
      <c r="AE8" s="520"/>
      <c r="AF8" s="520"/>
      <c r="AG8" s="520"/>
      <c r="AH8" s="520"/>
    </row>
    <row r="9" spans="1:34" s="156" customFormat="1" ht="12.75" customHeight="1" x14ac:dyDescent="0.2">
      <c r="A9" s="496" t="s">
        <v>608</v>
      </c>
      <c r="B9" s="496"/>
      <c r="C9" s="496"/>
      <c r="D9" s="496"/>
      <c r="E9" s="496"/>
      <c r="F9" s="496"/>
      <c r="G9" s="496"/>
      <c r="H9" s="496"/>
      <c r="I9" s="496"/>
      <c r="J9" s="496"/>
      <c r="K9" s="496"/>
      <c r="L9" s="496"/>
      <c r="M9" s="496"/>
      <c r="N9" s="496"/>
      <c r="O9" s="496"/>
      <c r="P9" s="496"/>
      <c r="Q9" s="496"/>
      <c r="R9" s="496"/>
      <c r="S9" s="496"/>
      <c r="T9" s="496"/>
      <c r="U9" s="496"/>
      <c r="V9" s="496"/>
      <c r="W9" s="496"/>
      <c r="X9" s="496"/>
      <c r="Y9" s="496"/>
      <c r="Z9" s="496"/>
      <c r="AA9" s="496"/>
      <c r="AB9" s="496"/>
      <c r="AC9" s="496"/>
      <c r="AD9" s="496"/>
      <c r="AE9" s="496"/>
      <c r="AF9" s="496"/>
      <c r="AG9" s="496"/>
      <c r="AH9" s="496"/>
    </row>
    <row r="10" spans="1:34" ht="12.75" customHeight="1" x14ac:dyDescent="0.2">
      <c r="A10" s="61"/>
      <c r="B10" s="61"/>
      <c r="C10" s="61"/>
      <c r="D10" s="61"/>
      <c r="E10" s="61"/>
      <c r="F10" s="61"/>
      <c r="G10" s="61"/>
      <c r="H10" s="61"/>
      <c r="I10" s="61"/>
      <c r="J10" s="61"/>
      <c r="K10" s="61"/>
      <c r="L10" s="61"/>
      <c r="M10" s="61"/>
      <c r="N10" s="215"/>
      <c r="O10" s="215"/>
      <c r="P10" s="215"/>
      <c r="Q10" s="215"/>
      <c r="R10" s="215"/>
      <c r="S10" s="215"/>
      <c r="T10" s="215"/>
      <c r="U10" s="215"/>
      <c r="V10" s="268"/>
      <c r="W10" s="268"/>
      <c r="X10" s="268"/>
      <c r="Y10" s="268"/>
      <c r="Z10" s="268"/>
      <c r="AA10" s="268"/>
      <c r="AB10" s="268"/>
      <c r="AC10" s="268"/>
    </row>
    <row r="11" spans="1:34" ht="12.75" customHeight="1" x14ac:dyDescent="0.2">
      <c r="A11" s="62" t="s">
        <v>314</v>
      </c>
      <c r="B11" s="61"/>
      <c r="C11" s="61"/>
      <c r="D11" s="61"/>
      <c r="E11" s="61"/>
      <c r="F11" s="61"/>
      <c r="G11" s="61"/>
      <c r="H11" s="61"/>
      <c r="I11" s="61"/>
      <c r="J11" s="61"/>
      <c r="K11" s="61"/>
      <c r="L11" s="61"/>
      <c r="M11" s="61"/>
      <c r="N11" s="262"/>
      <c r="O11" s="215"/>
      <c r="P11" s="215"/>
      <c r="Q11" s="215"/>
      <c r="R11" s="215"/>
      <c r="S11" s="215"/>
      <c r="T11" s="215"/>
      <c r="U11" s="215"/>
      <c r="V11" s="268"/>
      <c r="W11" s="268"/>
      <c r="X11" s="268"/>
      <c r="Y11" s="268"/>
      <c r="Z11" s="268"/>
      <c r="AA11" s="268"/>
      <c r="AB11" s="268"/>
      <c r="AC11" s="268"/>
    </row>
    <row r="12" spans="1:34" ht="12.75" customHeight="1" x14ac:dyDescent="0.2">
      <c r="A12" s="62" t="s">
        <v>315</v>
      </c>
      <c r="B12" s="61"/>
      <c r="C12" s="61"/>
      <c r="D12" s="61"/>
      <c r="E12" s="61"/>
      <c r="F12" s="61"/>
      <c r="G12" s="61"/>
      <c r="H12" s="61"/>
      <c r="I12" s="61"/>
      <c r="J12" s="61"/>
      <c r="K12" s="61"/>
      <c r="L12" s="61"/>
      <c r="M12" s="62"/>
      <c r="N12" s="215"/>
      <c r="O12" s="215"/>
      <c r="P12" s="215"/>
      <c r="Q12" s="215"/>
      <c r="R12" s="215"/>
      <c r="S12" s="215"/>
      <c r="T12" s="215"/>
      <c r="U12" s="215"/>
      <c r="V12" s="268"/>
      <c r="W12" s="268"/>
      <c r="X12" s="268"/>
      <c r="Y12" s="268"/>
      <c r="Z12" s="268"/>
      <c r="AA12" s="268"/>
      <c r="AB12" s="268"/>
      <c r="AC12" s="268"/>
    </row>
    <row r="13" spans="1:34" ht="8.25" customHeight="1" x14ac:dyDescent="0.2">
      <c r="A13" s="61"/>
      <c r="B13" s="61"/>
      <c r="C13" s="61"/>
      <c r="D13" s="61"/>
      <c r="E13" s="61"/>
      <c r="F13" s="61"/>
      <c r="G13" s="61"/>
      <c r="H13" s="61"/>
      <c r="I13" s="61"/>
      <c r="J13" s="61"/>
      <c r="K13" s="61"/>
      <c r="L13" s="61"/>
      <c r="M13" s="63"/>
      <c r="N13" s="215"/>
      <c r="O13" s="215"/>
      <c r="P13" s="215"/>
      <c r="Q13" s="215"/>
      <c r="R13" s="215"/>
      <c r="S13" s="215"/>
      <c r="T13" s="215"/>
      <c r="U13" s="215"/>
      <c r="V13" s="268"/>
      <c r="W13" s="268"/>
      <c r="X13" s="268"/>
      <c r="Y13" s="268"/>
      <c r="Z13" s="268"/>
      <c r="AA13" s="268"/>
      <c r="AB13" s="268"/>
      <c r="AC13" s="268"/>
    </row>
    <row r="14" spans="1:34" ht="6.75" customHeight="1" thickBot="1" x14ac:dyDescent="0.25">
      <c r="A14" s="61"/>
      <c r="B14" s="61"/>
      <c r="C14" s="61"/>
      <c r="D14" s="61"/>
      <c r="E14" s="61"/>
      <c r="F14" s="61"/>
      <c r="G14" s="61"/>
      <c r="H14" s="61"/>
      <c r="I14" s="61"/>
      <c r="J14" s="61"/>
      <c r="K14" s="61"/>
      <c r="L14" s="61"/>
      <c r="M14" s="61"/>
      <c r="N14" s="263"/>
      <c r="O14" s="215"/>
      <c r="P14" s="215"/>
      <c r="Q14" s="215"/>
      <c r="R14" s="215"/>
      <c r="S14" s="215"/>
      <c r="T14" s="215"/>
      <c r="U14" s="215"/>
      <c r="V14" s="268"/>
      <c r="W14" s="268"/>
      <c r="X14" s="268"/>
      <c r="Y14" s="268"/>
      <c r="Z14" s="268"/>
      <c r="AA14" s="268"/>
      <c r="AB14" s="268"/>
      <c r="AC14" s="268"/>
    </row>
    <row r="15" spans="1:34" ht="12.75" customHeight="1" x14ac:dyDescent="0.2">
      <c r="A15" s="61"/>
      <c r="B15" s="61"/>
      <c r="C15" s="61"/>
      <c r="D15" s="61"/>
      <c r="E15" s="61"/>
      <c r="F15" s="61"/>
      <c r="G15" s="61"/>
      <c r="H15" s="61"/>
      <c r="I15" s="61"/>
      <c r="J15" s="61"/>
      <c r="K15" s="61"/>
      <c r="L15" s="61"/>
      <c r="M15" s="64"/>
      <c r="N15" s="218" t="s">
        <v>522</v>
      </c>
      <c r="O15" s="66"/>
      <c r="P15" s="66"/>
      <c r="Q15" s="66"/>
      <c r="R15" s="67"/>
      <c r="S15" s="66"/>
      <c r="T15" s="66"/>
      <c r="U15" s="269" t="s">
        <v>309</v>
      </c>
      <c r="V15" s="66"/>
      <c r="W15" s="65"/>
      <c r="X15" s="66"/>
      <c r="Y15" s="67"/>
      <c r="Z15" s="270"/>
      <c r="AA15" s="218" t="s">
        <v>313</v>
      </c>
      <c r="AB15" s="66"/>
      <c r="AC15" s="65"/>
      <c r="AD15" s="271"/>
      <c r="AE15" s="268"/>
      <c r="AG15" s="169"/>
      <c r="AH15" s="169"/>
    </row>
    <row r="16" spans="1:34" ht="102" customHeight="1" x14ac:dyDescent="0.2">
      <c r="A16" s="140"/>
      <c r="B16" s="73" t="s">
        <v>523</v>
      </c>
      <c r="C16" s="73" t="s">
        <v>316</v>
      </c>
      <c r="D16" s="73" t="s">
        <v>317</v>
      </c>
      <c r="E16" s="73"/>
      <c r="F16" s="73"/>
      <c r="G16" s="73"/>
      <c r="H16" s="73" t="s">
        <v>318</v>
      </c>
      <c r="I16" s="73"/>
      <c r="J16" s="73"/>
      <c r="K16" s="73" t="s">
        <v>319</v>
      </c>
      <c r="L16" s="73" t="s">
        <v>320</v>
      </c>
      <c r="M16" s="73" t="s">
        <v>0</v>
      </c>
      <c r="N16" s="73" t="s">
        <v>524</v>
      </c>
      <c r="O16" s="73" t="s">
        <v>1</v>
      </c>
      <c r="P16" s="73" t="s">
        <v>2</v>
      </c>
      <c r="Q16" s="73" t="s">
        <v>3</v>
      </c>
      <c r="R16" s="73" t="s">
        <v>4</v>
      </c>
      <c r="S16" s="73" t="s">
        <v>321</v>
      </c>
      <c r="T16" s="73" t="s">
        <v>583</v>
      </c>
      <c r="U16" s="5" t="s">
        <v>591</v>
      </c>
      <c r="V16" s="94" t="s">
        <v>592</v>
      </c>
      <c r="W16" s="94" t="s">
        <v>593</v>
      </c>
      <c r="X16" s="73" t="s">
        <v>322</v>
      </c>
      <c r="Y16" s="73" t="s">
        <v>323</v>
      </c>
      <c r="Z16" s="73"/>
      <c r="AA16" s="73" t="s">
        <v>324</v>
      </c>
      <c r="AB16" s="73" t="s">
        <v>325</v>
      </c>
      <c r="AC16" s="73" t="s">
        <v>326</v>
      </c>
      <c r="AD16" s="73" t="s">
        <v>327</v>
      </c>
      <c r="AE16" s="223"/>
      <c r="AF16" s="158"/>
      <c r="AG16" s="94" t="s">
        <v>603</v>
      </c>
      <c r="AH16" s="94" t="s">
        <v>593</v>
      </c>
    </row>
    <row r="17" spans="1:34" ht="12.75" customHeight="1" x14ac:dyDescent="0.2">
      <c r="A17" s="140"/>
      <c r="B17" s="85"/>
      <c r="C17" s="85"/>
      <c r="D17" s="85"/>
      <c r="E17" s="85"/>
      <c r="F17" s="85"/>
      <c r="G17" s="85"/>
      <c r="H17" s="85"/>
      <c r="I17" s="85"/>
      <c r="J17" s="85"/>
      <c r="K17" s="85"/>
      <c r="L17" s="85"/>
      <c r="M17" s="85">
        <v>1</v>
      </c>
      <c r="N17" s="223">
        <v>2</v>
      </c>
      <c r="O17" s="223">
        <v>3</v>
      </c>
      <c r="P17" s="223">
        <v>4</v>
      </c>
      <c r="Q17" s="223">
        <v>5</v>
      </c>
      <c r="R17" s="223">
        <v>6</v>
      </c>
      <c r="S17" s="223">
        <v>7</v>
      </c>
      <c r="T17" s="223"/>
      <c r="U17" s="223">
        <v>7</v>
      </c>
      <c r="V17" s="223">
        <v>8</v>
      </c>
      <c r="W17" s="223">
        <v>9</v>
      </c>
      <c r="X17" s="223">
        <v>9</v>
      </c>
      <c r="Y17" s="223">
        <v>10</v>
      </c>
      <c r="Z17" s="223"/>
      <c r="AA17" s="223">
        <v>9</v>
      </c>
      <c r="AB17" s="223">
        <v>10</v>
      </c>
      <c r="AC17" s="223">
        <v>11</v>
      </c>
      <c r="AD17" s="223">
        <v>12</v>
      </c>
      <c r="AE17" s="223"/>
      <c r="AF17" s="158"/>
      <c r="AG17" s="158"/>
      <c r="AH17" s="158"/>
    </row>
    <row r="18" spans="1:34" ht="21.75" customHeight="1" x14ac:dyDescent="0.2">
      <c r="A18" s="141"/>
      <c r="B18" s="515" t="s">
        <v>525</v>
      </c>
      <c r="C18" s="515"/>
      <c r="D18" s="515"/>
      <c r="E18" s="515"/>
      <c r="F18" s="515"/>
      <c r="G18" s="515"/>
      <c r="H18" s="515"/>
      <c r="I18" s="515"/>
      <c r="J18" s="515"/>
      <c r="K18" s="515"/>
      <c r="L18" s="515"/>
      <c r="M18" s="515"/>
      <c r="N18" s="143">
        <v>802</v>
      </c>
      <c r="O18" s="144">
        <v>0</v>
      </c>
      <c r="P18" s="144">
        <v>0</v>
      </c>
      <c r="Q18" s="145">
        <v>0</v>
      </c>
      <c r="R18" s="146">
        <v>0</v>
      </c>
      <c r="S18" s="500"/>
      <c r="T18" s="500"/>
      <c r="U18" s="164">
        <v>66487.001999999993</v>
      </c>
      <c r="V18" s="164">
        <v>0</v>
      </c>
      <c r="W18" s="164">
        <v>66487.001999999993</v>
      </c>
      <c r="X18" s="514"/>
      <c r="Y18" s="514"/>
      <c r="Z18" s="514"/>
      <c r="AA18" s="514"/>
      <c r="AB18" s="514"/>
      <c r="AC18" s="514"/>
      <c r="AD18" s="514"/>
      <c r="AE18" s="164"/>
      <c r="AF18" s="160"/>
      <c r="AG18" s="160">
        <f>+AG19+AG27</f>
        <v>16936.35212</v>
      </c>
      <c r="AH18" s="170">
        <f>AG18/U18*100</f>
        <v>25.473177629516218</v>
      </c>
    </row>
    <row r="19" spans="1:34" ht="12" customHeight="1" x14ac:dyDescent="0.2">
      <c r="A19" s="141"/>
      <c r="B19" s="515" t="s">
        <v>5</v>
      </c>
      <c r="C19" s="515"/>
      <c r="D19" s="515"/>
      <c r="E19" s="515"/>
      <c r="F19" s="515"/>
      <c r="G19" s="515"/>
      <c r="H19" s="515"/>
      <c r="I19" s="515"/>
      <c r="J19" s="515"/>
      <c r="K19" s="515"/>
      <c r="L19" s="515"/>
      <c r="M19" s="515"/>
      <c r="N19" s="143">
        <v>802</v>
      </c>
      <c r="O19" s="144">
        <v>7</v>
      </c>
      <c r="P19" s="144">
        <v>0</v>
      </c>
      <c r="Q19" s="145">
        <v>0</v>
      </c>
      <c r="R19" s="146">
        <v>0</v>
      </c>
      <c r="S19" s="500"/>
      <c r="T19" s="500"/>
      <c r="U19" s="164">
        <v>14652.996999999999</v>
      </c>
      <c r="V19" s="164">
        <v>0</v>
      </c>
      <c r="W19" s="164">
        <v>14652.996999999999</v>
      </c>
      <c r="X19" s="514"/>
      <c r="Y19" s="514"/>
      <c r="Z19" s="514"/>
      <c r="AA19" s="514"/>
      <c r="AB19" s="514"/>
      <c r="AC19" s="514"/>
      <c r="AD19" s="514"/>
      <c r="AE19" s="164"/>
      <c r="AF19" s="160"/>
      <c r="AG19" s="160">
        <f t="shared" ref="AG19:AG25" si="0">+AG20</f>
        <v>3238.4758499999998</v>
      </c>
      <c r="AH19" s="170">
        <f t="shared" ref="AH19:AH82" si="1">AG19/U19*100</f>
        <v>22.101115901409109</v>
      </c>
    </row>
    <row r="20" spans="1:34" ht="12" customHeight="1" x14ac:dyDescent="0.2">
      <c r="A20" s="141"/>
      <c r="B20" s="515" t="s">
        <v>441</v>
      </c>
      <c r="C20" s="515"/>
      <c r="D20" s="515"/>
      <c r="E20" s="515"/>
      <c r="F20" s="515"/>
      <c r="G20" s="515"/>
      <c r="H20" s="515"/>
      <c r="I20" s="515"/>
      <c r="J20" s="515"/>
      <c r="K20" s="515"/>
      <c r="L20" s="515"/>
      <c r="M20" s="515"/>
      <c r="N20" s="143">
        <v>802</v>
      </c>
      <c r="O20" s="144">
        <v>7</v>
      </c>
      <c r="P20" s="144">
        <v>3</v>
      </c>
      <c r="Q20" s="145">
        <v>0</v>
      </c>
      <c r="R20" s="146">
        <v>0</v>
      </c>
      <c r="S20" s="500"/>
      <c r="T20" s="500"/>
      <c r="U20" s="164">
        <v>14652.996999999999</v>
      </c>
      <c r="V20" s="164">
        <v>0</v>
      </c>
      <c r="W20" s="164">
        <v>14652.996999999999</v>
      </c>
      <c r="X20" s="514"/>
      <c r="Y20" s="514"/>
      <c r="Z20" s="514"/>
      <c r="AA20" s="514"/>
      <c r="AB20" s="514"/>
      <c r="AC20" s="514"/>
      <c r="AD20" s="514"/>
      <c r="AE20" s="164"/>
      <c r="AF20" s="160"/>
      <c r="AG20" s="160">
        <f t="shared" si="0"/>
        <v>3238.4758499999998</v>
      </c>
      <c r="AH20" s="170">
        <f t="shared" si="1"/>
        <v>22.101115901409109</v>
      </c>
    </row>
    <row r="21" spans="1:34" ht="21.75" customHeight="1" x14ac:dyDescent="0.2">
      <c r="A21" s="141"/>
      <c r="B21" s="515" t="s">
        <v>431</v>
      </c>
      <c r="C21" s="515"/>
      <c r="D21" s="515"/>
      <c r="E21" s="515"/>
      <c r="F21" s="515"/>
      <c r="G21" s="515"/>
      <c r="H21" s="515"/>
      <c r="I21" s="515"/>
      <c r="J21" s="515"/>
      <c r="K21" s="515"/>
      <c r="L21" s="515"/>
      <c r="M21" s="515"/>
      <c r="N21" s="143">
        <v>802</v>
      </c>
      <c r="O21" s="144">
        <v>7</v>
      </c>
      <c r="P21" s="144">
        <v>3</v>
      </c>
      <c r="Q21" s="145" t="s">
        <v>432</v>
      </c>
      <c r="R21" s="146">
        <v>0</v>
      </c>
      <c r="S21" s="500"/>
      <c r="T21" s="500"/>
      <c r="U21" s="164">
        <v>14652.996999999999</v>
      </c>
      <c r="V21" s="164">
        <v>0</v>
      </c>
      <c r="W21" s="164">
        <v>14652.996999999999</v>
      </c>
      <c r="X21" s="514"/>
      <c r="Y21" s="514"/>
      <c r="Z21" s="514"/>
      <c r="AA21" s="514"/>
      <c r="AB21" s="514"/>
      <c r="AC21" s="514"/>
      <c r="AD21" s="514"/>
      <c r="AE21" s="164"/>
      <c r="AF21" s="160"/>
      <c r="AG21" s="160">
        <f t="shared" si="0"/>
        <v>3238.4758499999998</v>
      </c>
      <c r="AH21" s="170">
        <f t="shared" si="1"/>
        <v>22.101115901409109</v>
      </c>
    </row>
    <row r="22" spans="1:34" ht="12" customHeight="1" x14ac:dyDescent="0.2">
      <c r="A22" s="141"/>
      <c r="B22" s="515" t="s">
        <v>442</v>
      </c>
      <c r="C22" s="515"/>
      <c r="D22" s="515"/>
      <c r="E22" s="515"/>
      <c r="F22" s="515"/>
      <c r="G22" s="515"/>
      <c r="H22" s="515"/>
      <c r="I22" s="515"/>
      <c r="J22" s="515"/>
      <c r="K22" s="515"/>
      <c r="L22" s="515"/>
      <c r="M22" s="515"/>
      <c r="N22" s="143">
        <v>802</v>
      </c>
      <c r="O22" s="144">
        <v>7</v>
      </c>
      <c r="P22" s="144">
        <v>3</v>
      </c>
      <c r="Q22" s="145" t="s">
        <v>443</v>
      </c>
      <c r="R22" s="146">
        <v>0</v>
      </c>
      <c r="S22" s="500"/>
      <c r="T22" s="500"/>
      <c r="U22" s="164">
        <v>14652.996999999999</v>
      </c>
      <c r="V22" s="164">
        <v>0</v>
      </c>
      <c r="W22" s="164">
        <v>14652.996999999999</v>
      </c>
      <c r="X22" s="514"/>
      <c r="Y22" s="514"/>
      <c r="Z22" s="514"/>
      <c r="AA22" s="514"/>
      <c r="AB22" s="514"/>
      <c r="AC22" s="514"/>
      <c r="AD22" s="514"/>
      <c r="AE22" s="164"/>
      <c r="AF22" s="160"/>
      <c r="AG22" s="160">
        <f t="shared" si="0"/>
        <v>3238.4758499999998</v>
      </c>
      <c r="AH22" s="170">
        <f t="shared" si="1"/>
        <v>22.101115901409109</v>
      </c>
    </row>
    <row r="23" spans="1:34" ht="21.75" customHeight="1" x14ac:dyDescent="0.2">
      <c r="A23" s="141"/>
      <c r="B23" s="515" t="s">
        <v>6</v>
      </c>
      <c r="C23" s="515"/>
      <c r="D23" s="515"/>
      <c r="E23" s="515"/>
      <c r="F23" s="515"/>
      <c r="G23" s="515"/>
      <c r="H23" s="515"/>
      <c r="I23" s="515"/>
      <c r="J23" s="515"/>
      <c r="K23" s="515"/>
      <c r="L23" s="515"/>
      <c r="M23" s="515"/>
      <c r="N23" s="143">
        <v>802</v>
      </c>
      <c r="O23" s="144">
        <v>7</v>
      </c>
      <c r="P23" s="144">
        <v>3</v>
      </c>
      <c r="Q23" s="145" t="s">
        <v>444</v>
      </c>
      <c r="R23" s="146">
        <v>0</v>
      </c>
      <c r="S23" s="500"/>
      <c r="T23" s="500"/>
      <c r="U23" s="164">
        <v>14652.996999999999</v>
      </c>
      <c r="V23" s="164">
        <v>0</v>
      </c>
      <c r="W23" s="164">
        <v>14652.996999999999</v>
      </c>
      <c r="X23" s="514"/>
      <c r="Y23" s="514"/>
      <c r="Z23" s="514"/>
      <c r="AA23" s="514"/>
      <c r="AB23" s="514"/>
      <c r="AC23" s="514"/>
      <c r="AD23" s="514"/>
      <c r="AE23" s="164"/>
      <c r="AF23" s="160"/>
      <c r="AG23" s="160">
        <f t="shared" si="0"/>
        <v>3238.4758499999998</v>
      </c>
      <c r="AH23" s="170">
        <f t="shared" si="1"/>
        <v>22.101115901409109</v>
      </c>
    </row>
    <row r="24" spans="1:34" ht="21.75" customHeight="1" x14ac:dyDescent="0.2">
      <c r="A24" s="141"/>
      <c r="B24" s="515" t="s">
        <v>436</v>
      </c>
      <c r="C24" s="515"/>
      <c r="D24" s="515"/>
      <c r="E24" s="515"/>
      <c r="F24" s="515"/>
      <c r="G24" s="515"/>
      <c r="H24" s="515"/>
      <c r="I24" s="515"/>
      <c r="J24" s="515"/>
      <c r="K24" s="515"/>
      <c r="L24" s="515"/>
      <c r="M24" s="515"/>
      <c r="N24" s="143">
        <v>802</v>
      </c>
      <c r="O24" s="144">
        <v>7</v>
      </c>
      <c r="P24" s="144">
        <v>3</v>
      </c>
      <c r="Q24" s="145" t="s">
        <v>444</v>
      </c>
      <c r="R24" s="146" t="s">
        <v>8</v>
      </c>
      <c r="S24" s="500"/>
      <c r="T24" s="500"/>
      <c r="U24" s="164">
        <v>14652.996999999999</v>
      </c>
      <c r="V24" s="164">
        <v>0</v>
      </c>
      <c r="W24" s="164">
        <v>14652.996999999999</v>
      </c>
      <c r="X24" s="514"/>
      <c r="Y24" s="514"/>
      <c r="Z24" s="514"/>
      <c r="AA24" s="514"/>
      <c r="AB24" s="514"/>
      <c r="AC24" s="514"/>
      <c r="AD24" s="514"/>
      <c r="AE24" s="164"/>
      <c r="AF24" s="160"/>
      <c r="AG24" s="160">
        <f t="shared" si="0"/>
        <v>3238.4758499999998</v>
      </c>
      <c r="AH24" s="170">
        <f t="shared" si="1"/>
        <v>22.101115901409109</v>
      </c>
    </row>
    <row r="25" spans="1:34" ht="12" customHeight="1" x14ac:dyDescent="0.2">
      <c r="A25" s="141"/>
      <c r="B25" s="515" t="s">
        <v>9</v>
      </c>
      <c r="C25" s="515"/>
      <c r="D25" s="515"/>
      <c r="E25" s="515"/>
      <c r="F25" s="515"/>
      <c r="G25" s="515"/>
      <c r="H25" s="515"/>
      <c r="I25" s="515"/>
      <c r="J25" s="515"/>
      <c r="K25" s="515"/>
      <c r="L25" s="515"/>
      <c r="M25" s="515"/>
      <c r="N25" s="143">
        <v>802</v>
      </c>
      <c r="O25" s="144">
        <v>7</v>
      </c>
      <c r="P25" s="144">
        <v>3</v>
      </c>
      <c r="Q25" s="145" t="s">
        <v>444</v>
      </c>
      <c r="R25" s="146" t="s">
        <v>10</v>
      </c>
      <c r="S25" s="500"/>
      <c r="T25" s="500"/>
      <c r="U25" s="164">
        <v>14652.996999999999</v>
      </c>
      <c r="V25" s="164">
        <v>0</v>
      </c>
      <c r="W25" s="164">
        <v>14652.996999999999</v>
      </c>
      <c r="X25" s="514"/>
      <c r="Y25" s="514"/>
      <c r="Z25" s="514"/>
      <c r="AA25" s="514"/>
      <c r="AB25" s="514"/>
      <c r="AC25" s="514"/>
      <c r="AD25" s="514"/>
      <c r="AE25" s="164"/>
      <c r="AF25" s="160"/>
      <c r="AG25" s="160">
        <f t="shared" si="0"/>
        <v>3238.4758499999998</v>
      </c>
      <c r="AH25" s="170">
        <f t="shared" si="1"/>
        <v>22.101115901409109</v>
      </c>
    </row>
    <row r="26" spans="1:34" ht="42.75" customHeight="1" x14ac:dyDescent="0.2">
      <c r="A26" s="141"/>
      <c r="B26" s="515" t="s">
        <v>11</v>
      </c>
      <c r="C26" s="515"/>
      <c r="D26" s="515"/>
      <c r="E26" s="515"/>
      <c r="F26" s="515"/>
      <c r="G26" s="515"/>
      <c r="H26" s="515"/>
      <c r="I26" s="515"/>
      <c r="J26" s="515"/>
      <c r="K26" s="515"/>
      <c r="L26" s="515"/>
      <c r="M26" s="515"/>
      <c r="N26" s="143">
        <v>802</v>
      </c>
      <c r="O26" s="144">
        <v>7</v>
      </c>
      <c r="P26" s="144">
        <v>3</v>
      </c>
      <c r="Q26" s="145" t="s">
        <v>444</v>
      </c>
      <c r="R26" s="146" t="s">
        <v>12</v>
      </c>
      <c r="S26" s="500"/>
      <c r="T26" s="500"/>
      <c r="U26" s="164">
        <v>14652.996999999999</v>
      </c>
      <c r="V26" s="164">
        <v>0</v>
      </c>
      <c r="W26" s="164">
        <v>14652.996999999999</v>
      </c>
      <c r="X26" s="514"/>
      <c r="Y26" s="514"/>
      <c r="Z26" s="514"/>
      <c r="AA26" s="514"/>
      <c r="AB26" s="514"/>
      <c r="AC26" s="514"/>
      <c r="AD26" s="514"/>
      <c r="AE26" s="164"/>
      <c r="AF26" s="160"/>
      <c r="AG26" s="160">
        <v>3238.4758499999998</v>
      </c>
      <c r="AH26" s="170">
        <f t="shared" si="1"/>
        <v>22.101115901409109</v>
      </c>
    </row>
    <row r="27" spans="1:34" ht="12" customHeight="1" x14ac:dyDescent="0.2">
      <c r="A27" s="141"/>
      <c r="B27" s="515" t="s">
        <v>456</v>
      </c>
      <c r="C27" s="515"/>
      <c r="D27" s="515"/>
      <c r="E27" s="515"/>
      <c r="F27" s="515"/>
      <c r="G27" s="515"/>
      <c r="H27" s="515"/>
      <c r="I27" s="515"/>
      <c r="J27" s="515"/>
      <c r="K27" s="515"/>
      <c r="L27" s="515"/>
      <c r="M27" s="515"/>
      <c r="N27" s="143">
        <v>802</v>
      </c>
      <c r="O27" s="144">
        <v>8</v>
      </c>
      <c r="P27" s="144">
        <v>0</v>
      </c>
      <c r="Q27" s="145">
        <v>0</v>
      </c>
      <c r="R27" s="146">
        <v>0</v>
      </c>
      <c r="S27" s="500"/>
      <c r="T27" s="500"/>
      <c r="U27" s="164">
        <v>51834.004999999997</v>
      </c>
      <c r="V27" s="164">
        <v>0</v>
      </c>
      <c r="W27" s="164">
        <v>51834.004999999997</v>
      </c>
      <c r="X27" s="514"/>
      <c r="Y27" s="514"/>
      <c r="Z27" s="514"/>
      <c r="AA27" s="514"/>
      <c r="AB27" s="514"/>
      <c r="AC27" s="514"/>
      <c r="AD27" s="514"/>
      <c r="AE27" s="164"/>
      <c r="AF27" s="160"/>
      <c r="AG27" s="160">
        <f>+AG28+AG83</f>
        <v>13697.876270000001</v>
      </c>
      <c r="AH27" s="170">
        <f t="shared" si="1"/>
        <v>26.426428499977959</v>
      </c>
    </row>
    <row r="28" spans="1:34" ht="12" customHeight="1" x14ac:dyDescent="0.2">
      <c r="A28" s="141"/>
      <c r="B28" s="515" t="s">
        <v>13</v>
      </c>
      <c r="C28" s="515"/>
      <c r="D28" s="515"/>
      <c r="E28" s="515"/>
      <c r="F28" s="515"/>
      <c r="G28" s="515"/>
      <c r="H28" s="515"/>
      <c r="I28" s="515"/>
      <c r="J28" s="515"/>
      <c r="K28" s="515"/>
      <c r="L28" s="515"/>
      <c r="M28" s="515"/>
      <c r="N28" s="143">
        <v>802</v>
      </c>
      <c r="O28" s="144">
        <v>8</v>
      </c>
      <c r="P28" s="144">
        <v>1</v>
      </c>
      <c r="Q28" s="145">
        <v>0</v>
      </c>
      <c r="R28" s="146">
        <v>0</v>
      </c>
      <c r="S28" s="500"/>
      <c r="T28" s="500"/>
      <c r="U28" s="164">
        <v>49108.256999999998</v>
      </c>
      <c r="V28" s="164">
        <v>0</v>
      </c>
      <c r="W28" s="164">
        <v>49108.256999999998</v>
      </c>
      <c r="X28" s="514"/>
      <c r="Y28" s="514"/>
      <c r="Z28" s="514"/>
      <c r="AA28" s="514"/>
      <c r="AB28" s="514"/>
      <c r="AC28" s="514"/>
      <c r="AD28" s="514"/>
      <c r="AE28" s="164"/>
      <c r="AF28" s="160"/>
      <c r="AG28" s="160">
        <f>+AG29+AG35+AG41+AG47+AG54+AG69+AG75</f>
        <v>13007.02903</v>
      </c>
      <c r="AH28" s="170">
        <f t="shared" si="1"/>
        <v>26.486440009467248</v>
      </c>
    </row>
    <row r="29" spans="1:34" ht="21.75" customHeight="1" x14ac:dyDescent="0.2">
      <c r="A29" s="141"/>
      <c r="B29" s="515" t="s">
        <v>457</v>
      </c>
      <c r="C29" s="515"/>
      <c r="D29" s="515"/>
      <c r="E29" s="515"/>
      <c r="F29" s="515"/>
      <c r="G29" s="515"/>
      <c r="H29" s="515"/>
      <c r="I29" s="515"/>
      <c r="J29" s="515"/>
      <c r="K29" s="515"/>
      <c r="L29" s="515"/>
      <c r="M29" s="515"/>
      <c r="N29" s="143">
        <v>802</v>
      </c>
      <c r="O29" s="144">
        <v>8</v>
      </c>
      <c r="P29" s="144">
        <v>1</v>
      </c>
      <c r="Q29" s="145" t="s">
        <v>458</v>
      </c>
      <c r="R29" s="146">
        <v>0</v>
      </c>
      <c r="S29" s="500"/>
      <c r="T29" s="500"/>
      <c r="U29" s="164">
        <v>10474.677</v>
      </c>
      <c r="V29" s="164">
        <v>0</v>
      </c>
      <c r="W29" s="164">
        <v>10474.677</v>
      </c>
      <c r="X29" s="514"/>
      <c r="Y29" s="514"/>
      <c r="Z29" s="514"/>
      <c r="AA29" s="514"/>
      <c r="AB29" s="514"/>
      <c r="AC29" s="514"/>
      <c r="AD29" s="514"/>
      <c r="AE29" s="164"/>
      <c r="AF29" s="160"/>
      <c r="AG29" s="160">
        <f>+AG30</f>
        <v>2536.91876</v>
      </c>
      <c r="AH29" s="170">
        <f t="shared" si="1"/>
        <v>24.219541662239326</v>
      </c>
    </row>
    <row r="30" spans="1:34" ht="12" customHeight="1" x14ac:dyDescent="0.2">
      <c r="A30" s="141"/>
      <c r="B30" s="515" t="s">
        <v>459</v>
      </c>
      <c r="C30" s="515"/>
      <c r="D30" s="515"/>
      <c r="E30" s="515"/>
      <c r="F30" s="515"/>
      <c r="G30" s="515"/>
      <c r="H30" s="515"/>
      <c r="I30" s="515"/>
      <c r="J30" s="515"/>
      <c r="K30" s="515"/>
      <c r="L30" s="515"/>
      <c r="M30" s="515"/>
      <c r="N30" s="143">
        <v>802</v>
      </c>
      <c r="O30" s="144">
        <v>8</v>
      </c>
      <c r="P30" s="144">
        <v>1</v>
      </c>
      <c r="Q30" s="145" t="s">
        <v>460</v>
      </c>
      <c r="R30" s="146">
        <v>0</v>
      </c>
      <c r="S30" s="500"/>
      <c r="T30" s="500"/>
      <c r="U30" s="164">
        <v>10474.677</v>
      </c>
      <c r="V30" s="164">
        <v>0</v>
      </c>
      <c r="W30" s="164">
        <v>10474.677</v>
      </c>
      <c r="X30" s="514"/>
      <c r="Y30" s="514"/>
      <c r="Z30" s="514"/>
      <c r="AA30" s="514"/>
      <c r="AB30" s="514"/>
      <c r="AC30" s="514"/>
      <c r="AD30" s="514"/>
      <c r="AE30" s="164"/>
      <c r="AF30" s="160"/>
      <c r="AG30" s="160">
        <f>+AG31</f>
        <v>2536.91876</v>
      </c>
      <c r="AH30" s="170">
        <f t="shared" si="1"/>
        <v>24.219541662239326</v>
      </c>
    </row>
    <row r="31" spans="1:34" ht="21.75" customHeight="1" x14ac:dyDescent="0.2">
      <c r="A31" s="141"/>
      <c r="B31" s="515" t="s">
        <v>14</v>
      </c>
      <c r="C31" s="515"/>
      <c r="D31" s="515"/>
      <c r="E31" s="515"/>
      <c r="F31" s="515"/>
      <c r="G31" s="515"/>
      <c r="H31" s="515"/>
      <c r="I31" s="515"/>
      <c r="J31" s="515"/>
      <c r="K31" s="515"/>
      <c r="L31" s="515"/>
      <c r="M31" s="515"/>
      <c r="N31" s="143">
        <v>802</v>
      </c>
      <c r="O31" s="144">
        <v>8</v>
      </c>
      <c r="P31" s="144">
        <v>1</v>
      </c>
      <c r="Q31" s="145" t="s">
        <v>461</v>
      </c>
      <c r="R31" s="146">
        <v>0</v>
      </c>
      <c r="S31" s="500"/>
      <c r="T31" s="500"/>
      <c r="U31" s="164">
        <v>10474.677</v>
      </c>
      <c r="V31" s="164">
        <v>0</v>
      </c>
      <c r="W31" s="164">
        <v>10474.677</v>
      </c>
      <c r="X31" s="514"/>
      <c r="Y31" s="514"/>
      <c r="Z31" s="514"/>
      <c r="AA31" s="514"/>
      <c r="AB31" s="514"/>
      <c r="AC31" s="514"/>
      <c r="AD31" s="514"/>
      <c r="AE31" s="164"/>
      <c r="AF31" s="160"/>
      <c r="AG31" s="160">
        <f>+AG32</f>
        <v>2536.91876</v>
      </c>
      <c r="AH31" s="170">
        <f t="shared" si="1"/>
        <v>24.219541662239326</v>
      </c>
    </row>
    <row r="32" spans="1:34" ht="21.75" customHeight="1" x14ac:dyDescent="0.2">
      <c r="A32" s="141"/>
      <c r="B32" s="515" t="s">
        <v>436</v>
      </c>
      <c r="C32" s="515"/>
      <c r="D32" s="515"/>
      <c r="E32" s="515"/>
      <c r="F32" s="515"/>
      <c r="G32" s="515"/>
      <c r="H32" s="515"/>
      <c r="I32" s="515"/>
      <c r="J32" s="515"/>
      <c r="K32" s="515"/>
      <c r="L32" s="515"/>
      <c r="M32" s="515"/>
      <c r="N32" s="143">
        <v>802</v>
      </c>
      <c r="O32" s="144">
        <v>8</v>
      </c>
      <c r="P32" s="144">
        <v>1</v>
      </c>
      <c r="Q32" s="145" t="s">
        <v>461</v>
      </c>
      <c r="R32" s="146" t="s">
        <v>8</v>
      </c>
      <c r="S32" s="500"/>
      <c r="T32" s="500"/>
      <c r="U32" s="164">
        <v>10474.677</v>
      </c>
      <c r="V32" s="164">
        <v>0</v>
      </c>
      <c r="W32" s="164">
        <v>10474.677</v>
      </c>
      <c r="X32" s="514"/>
      <c r="Y32" s="514"/>
      <c r="Z32" s="514"/>
      <c r="AA32" s="514"/>
      <c r="AB32" s="514"/>
      <c r="AC32" s="514"/>
      <c r="AD32" s="514"/>
      <c r="AE32" s="164"/>
      <c r="AF32" s="160"/>
      <c r="AG32" s="160">
        <f>+AG33</f>
        <v>2536.91876</v>
      </c>
      <c r="AH32" s="170">
        <f t="shared" si="1"/>
        <v>24.219541662239326</v>
      </c>
    </row>
    <row r="33" spans="1:34" ht="12" customHeight="1" x14ac:dyDescent="0.2">
      <c r="A33" s="141"/>
      <c r="B33" s="515" t="s">
        <v>9</v>
      </c>
      <c r="C33" s="515"/>
      <c r="D33" s="515"/>
      <c r="E33" s="515"/>
      <c r="F33" s="515"/>
      <c r="G33" s="515"/>
      <c r="H33" s="515"/>
      <c r="I33" s="515"/>
      <c r="J33" s="515"/>
      <c r="K33" s="515"/>
      <c r="L33" s="515"/>
      <c r="M33" s="515"/>
      <c r="N33" s="143">
        <v>802</v>
      </c>
      <c r="O33" s="144">
        <v>8</v>
      </c>
      <c r="P33" s="144">
        <v>1</v>
      </c>
      <c r="Q33" s="145" t="s">
        <v>461</v>
      </c>
      <c r="R33" s="146" t="s">
        <v>10</v>
      </c>
      <c r="S33" s="500"/>
      <c r="T33" s="500"/>
      <c r="U33" s="164">
        <v>10474.677</v>
      </c>
      <c r="V33" s="164">
        <v>0</v>
      </c>
      <c r="W33" s="164">
        <v>10474.677</v>
      </c>
      <c r="X33" s="514"/>
      <c r="Y33" s="514"/>
      <c r="Z33" s="514"/>
      <c r="AA33" s="514"/>
      <c r="AB33" s="514"/>
      <c r="AC33" s="514"/>
      <c r="AD33" s="514"/>
      <c r="AE33" s="164"/>
      <c r="AF33" s="160"/>
      <c r="AG33" s="160">
        <f>+AG34</f>
        <v>2536.91876</v>
      </c>
      <c r="AH33" s="170">
        <f t="shared" si="1"/>
        <v>24.219541662239326</v>
      </c>
    </row>
    <row r="34" spans="1:34" ht="42.75" customHeight="1" x14ac:dyDescent="0.2">
      <c r="A34" s="141"/>
      <c r="B34" s="515" t="s">
        <v>11</v>
      </c>
      <c r="C34" s="515"/>
      <c r="D34" s="515"/>
      <c r="E34" s="515"/>
      <c r="F34" s="515"/>
      <c r="G34" s="515"/>
      <c r="H34" s="515"/>
      <c r="I34" s="515"/>
      <c r="J34" s="515"/>
      <c r="K34" s="515"/>
      <c r="L34" s="515"/>
      <c r="M34" s="515"/>
      <c r="N34" s="143">
        <v>802</v>
      </c>
      <c r="O34" s="144">
        <v>8</v>
      </c>
      <c r="P34" s="144">
        <v>1</v>
      </c>
      <c r="Q34" s="145" t="s">
        <v>461</v>
      </c>
      <c r="R34" s="146" t="s">
        <v>12</v>
      </c>
      <c r="S34" s="500"/>
      <c r="T34" s="500"/>
      <c r="U34" s="164">
        <v>10474.677</v>
      </c>
      <c r="V34" s="164">
        <v>0</v>
      </c>
      <c r="W34" s="164">
        <v>10474.677</v>
      </c>
      <c r="X34" s="514"/>
      <c r="Y34" s="514"/>
      <c r="Z34" s="514"/>
      <c r="AA34" s="514"/>
      <c r="AB34" s="514"/>
      <c r="AC34" s="514"/>
      <c r="AD34" s="514"/>
      <c r="AE34" s="164"/>
      <c r="AF34" s="160"/>
      <c r="AG34" s="160">
        <v>2536.91876</v>
      </c>
      <c r="AH34" s="170">
        <f t="shared" si="1"/>
        <v>24.219541662239326</v>
      </c>
    </row>
    <row r="35" spans="1:34" ht="21.75" customHeight="1" x14ac:dyDescent="0.2">
      <c r="A35" s="141"/>
      <c r="B35" s="515" t="s">
        <v>457</v>
      </c>
      <c r="C35" s="515"/>
      <c r="D35" s="515"/>
      <c r="E35" s="515"/>
      <c r="F35" s="515"/>
      <c r="G35" s="515"/>
      <c r="H35" s="515"/>
      <c r="I35" s="515"/>
      <c r="J35" s="515"/>
      <c r="K35" s="515"/>
      <c r="L35" s="515"/>
      <c r="M35" s="515"/>
      <c r="N35" s="143">
        <v>802</v>
      </c>
      <c r="O35" s="144">
        <v>8</v>
      </c>
      <c r="P35" s="144">
        <v>1</v>
      </c>
      <c r="Q35" s="145" t="s">
        <v>458</v>
      </c>
      <c r="R35" s="146">
        <v>0</v>
      </c>
      <c r="S35" s="500"/>
      <c r="T35" s="500"/>
      <c r="U35" s="164">
        <v>6.3159999999999998</v>
      </c>
      <c r="V35" s="164">
        <v>0</v>
      </c>
      <c r="W35" s="164">
        <v>6.3159999999999998</v>
      </c>
      <c r="X35" s="514"/>
      <c r="Y35" s="514"/>
      <c r="Z35" s="514"/>
      <c r="AA35" s="514"/>
      <c r="AB35" s="514"/>
      <c r="AC35" s="514"/>
      <c r="AD35" s="514"/>
      <c r="AE35" s="164"/>
      <c r="AF35" s="160"/>
      <c r="AG35" s="160">
        <f>+AG36</f>
        <v>0</v>
      </c>
      <c r="AH35" s="170">
        <f t="shared" si="1"/>
        <v>0</v>
      </c>
    </row>
    <row r="36" spans="1:34" ht="12" customHeight="1" x14ac:dyDescent="0.2">
      <c r="A36" s="141"/>
      <c r="B36" s="515" t="s">
        <v>459</v>
      </c>
      <c r="C36" s="515"/>
      <c r="D36" s="515"/>
      <c r="E36" s="515"/>
      <c r="F36" s="515"/>
      <c r="G36" s="515"/>
      <c r="H36" s="515"/>
      <c r="I36" s="515"/>
      <c r="J36" s="515"/>
      <c r="K36" s="515"/>
      <c r="L36" s="515"/>
      <c r="M36" s="515"/>
      <c r="N36" s="143">
        <v>802</v>
      </c>
      <c r="O36" s="144">
        <v>8</v>
      </c>
      <c r="P36" s="144">
        <v>1</v>
      </c>
      <c r="Q36" s="145" t="s">
        <v>460</v>
      </c>
      <c r="R36" s="146">
        <v>0</v>
      </c>
      <c r="S36" s="500"/>
      <c r="T36" s="500"/>
      <c r="U36" s="164">
        <v>6.3159999999999998</v>
      </c>
      <c r="V36" s="164">
        <v>0</v>
      </c>
      <c r="W36" s="164">
        <v>6.3159999999999998</v>
      </c>
      <c r="X36" s="514"/>
      <c r="Y36" s="514"/>
      <c r="Z36" s="514"/>
      <c r="AA36" s="514"/>
      <c r="AB36" s="514"/>
      <c r="AC36" s="514"/>
      <c r="AD36" s="514"/>
      <c r="AE36" s="164"/>
      <c r="AF36" s="160"/>
      <c r="AG36" s="160">
        <f>+AG37</f>
        <v>0</v>
      </c>
      <c r="AH36" s="170">
        <f t="shared" si="1"/>
        <v>0</v>
      </c>
    </row>
    <row r="37" spans="1:34" ht="21.75" customHeight="1" x14ac:dyDescent="0.2">
      <c r="A37" s="141"/>
      <c r="B37" s="515" t="s">
        <v>563</v>
      </c>
      <c r="C37" s="515"/>
      <c r="D37" s="515"/>
      <c r="E37" s="515"/>
      <c r="F37" s="515"/>
      <c r="G37" s="515"/>
      <c r="H37" s="515"/>
      <c r="I37" s="515"/>
      <c r="J37" s="515"/>
      <c r="K37" s="515"/>
      <c r="L37" s="515"/>
      <c r="M37" s="515"/>
      <c r="N37" s="143">
        <v>802</v>
      </c>
      <c r="O37" s="144">
        <v>8</v>
      </c>
      <c r="P37" s="144">
        <v>1</v>
      </c>
      <c r="Q37" s="145" t="s">
        <v>564</v>
      </c>
      <c r="R37" s="146">
        <v>0</v>
      </c>
      <c r="S37" s="500"/>
      <c r="T37" s="500"/>
      <c r="U37" s="164">
        <v>6.3159999999999998</v>
      </c>
      <c r="V37" s="164">
        <v>0</v>
      </c>
      <c r="W37" s="164">
        <v>6.3159999999999998</v>
      </c>
      <c r="X37" s="514"/>
      <c r="Y37" s="514"/>
      <c r="Z37" s="514"/>
      <c r="AA37" s="514"/>
      <c r="AB37" s="514"/>
      <c r="AC37" s="514"/>
      <c r="AD37" s="514"/>
      <c r="AE37" s="164"/>
      <c r="AF37" s="160"/>
      <c r="AG37" s="160">
        <f>+AG38</f>
        <v>0</v>
      </c>
      <c r="AH37" s="170">
        <f t="shared" si="1"/>
        <v>0</v>
      </c>
    </row>
    <row r="38" spans="1:34" ht="21.75" customHeight="1" x14ac:dyDescent="0.2">
      <c r="A38" s="141"/>
      <c r="B38" s="515" t="s">
        <v>436</v>
      </c>
      <c r="C38" s="515"/>
      <c r="D38" s="515"/>
      <c r="E38" s="515"/>
      <c r="F38" s="515"/>
      <c r="G38" s="515"/>
      <c r="H38" s="515"/>
      <c r="I38" s="515"/>
      <c r="J38" s="515"/>
      <c r="K38" s="515"/>
      <c r="L38" s="515"/>
      <c r="M38" s="515"/>
      <c r="N38" s="143">
        <v>802</v>
      </c>
      <c r="O38" s="144">
        <v>8</v>
      </c>
      <c r="P38" s="144">
        <v>1</v>
      </c>
      <c r="Q38" s="145" t="s">
        <v>564</v>
      </c>
      <c r="R38" s="146" t="s">
        <v>8</v>
      </c>
      <c r="S38" s="500"/>
      <c r="T38" s="500"/>
      <c r="U38" s="164">
        <v>6.3159999999999998</v>
      </c>
      <c r="V38" s="164">
        <v>0</v>
      </c>
      <c r="W38" s="164">
        <v>6.3159999999999998</v>
      </c>
      <c r="X38" s="514"/>
      <c r="Y38" s="514"/>
      <c r="Z38" s="514"/>
      <c r="AA38" s="514"/>
      <c r="AB38" s="514"/>
      <c r="AC38" s="514"/>
      <c r="AD38" s="514"/>
      <c r="AE38" s="164"/>
      <c r="AF38" s="160"/>
      <c r="AG38" s="160">
        <f>+AG39</f>
        <v>0</v>
      </c>
      <c r="AH38" s="170">
        <f t="shared" si="1"/>
        <v>0</v>
      </c>
    </row>
    <row r="39" spans="1:34" ht="12" customHeight="1" x14ac:dyDescent="0.2">
      <c r="A39" s="141"/>
      <c r="B39" s="515" t="s">
        <v>9</v>
      </c>
      <c r="C39" s="515"/>
      <c r="D39" s="515"/>
      <c r="E39" s="515"/>
      <c r="F39" s="515"/>
      <c r="G39" s="515"/>
      <c r="H39" s="515"/>
      <c r="I39" s="515"/>
      <c r="J39" s="515"/>
      <c r="K39" s="515"/>
      <c r="L39" s="515"/>
      <c r="M39" s="515"/>
      <c r="N39" s="143">
        <v>802</v>
      </c>
      <c r="O39" s="144">
        <v>8</v>
      </c>
      <c r="P39" s="144">
        <v>1</v>
      </c>
      <c r="Q39" s="145" t="s">
        <v>564</v>
      </c>
      <c r="R39" s="146" t="s">
        <v>10</v>
      </c>
      <c r="S39" s="500"/>
      <c r="T39" s="500"/>
      <c r="U39" s="164">
        <v>6.3159999999999998</v>
      </c>
      <c r="V39" s="164">
        <v>0</v>
      </c>
      <c r="W39" s="164">
        <v>6.3159999999999998</v>
      </c>
      <c r="X39" s="514"/>
      <c r="Y39" s="514"/>
      <c r="Z39" s="514"/>
      <c r="AA39" s="514"/>
      <c r="AB39" s="514"/>
      <c r="AC39" s="514"/>
      <c r="AD39" s="514"/>
      <c r="AE39" s="164"/>
      <c r="AF39" s="160"/>
      <c r="AG39" s="160">
        <f>+AG40</f>
        <v>0</v>
      </c>
      <c r="AH39" s="170">
        <f t="shared" si="1"/>
        <v>0</v>
      </c>
    </row>
    <row r="40" spans="1:34" ht="12" customHeight="1" x14ac:dyDescent="0.2">
      <c r="A40" s="141"/>
      <c r="B40" s="515" t="s">
        <v>152</v>
      </c>
      <c r="C40" s="515"/>
      <c r="D40" s="515"/>
      <c r="E40" s="515"/>
      <c r="F40" s="515"/>
      <c r="G40" s="515"/>
      <c r="H40" s="515"/>
      <c r="I40" s="515"/>
      <c r="J40" s="515"/>
      <c r="K40" s="515"/>
      <c r="L40" s="515"/>
      <c r="M40" s="515"/>
      <c r="N40" s="143">
        <v>802</v>
      </c>
      <c r="O40" s="144">
        <v>8</v>
      </c>
      <c r="P40" s="144">
        <v>1</v>
      </c>
      <c r="Q40" s="145" t="s">
        <v>564</v>
      </c>
      <c r="R40" s="146" t="s">
        <v>151</v>
      </c>
      <c r="S40" s="500"/>
      <c r="T40" s="500"/>
      <c r="U40" s="164">
        <v>6.3159999999999998</v>
      </c>
      <c r="V40" s="164">
        <v>0</v>
      </c>
      <c r="W40" s="164">
        <v>6.3159999999999998</v>
      </c>
      <c r="X40" s="514"/>
      <c r="Y40" s="514"/>
      <c r="Z40" s="514"/>
      <c r="AA40" s="514"/>
      <c r="AB40" s="514"/>
      <c r="AC40" s="514"/>
      <c r="AD40" s="514"/>
      <c r="AE40" s="164"/>
      <c r="AF40" s="160"/>
      <c r="AG40" s="160"/>
      <c r="AH40" s="170">
        <f t="shared" si="1"/>
        <v>0</v>
      </c>
    </row>
    <row r="41" spans="1:34" ht="21.75" customHeight="1" x14ac:dyDescent="0.2">
      <c r="A41" s="141"/>
      <c r="B41" s="515" t="s">
        <v>457</v>
      </c>
      <c r="C41" s="515"/>
      <c r="D41" s="515"/>
      <c r="E41" s="515"/>
      <c r="F41" s="515"/>
      <c r="G41" s="515"/>
      <c r="H41" s="515"/>
      <c r="I41" s="515"/>
      <c r="J41" s="515"/>
      <c r="K41" s="515"/>
      <c r="L41" s="515"/>
      <c r="M41" s="515"/>
      <c r="N41" s="143">
        <v>802</v>
      </c>
      <c r="O41" s="144">
        <v>8</v>
      </c>
      <c r="P41" s="144">
        <v>1</v>
      </c>
      <c r="Q41" s="145" t="s">
        <v>458</v>
      </c>
      <c r="R41" s="146">
        <v>0</v>
      </c>
      <c r="S41" s="500"/>
      <c r="T41" s="500"/>
      <c r="U41" s="164">
        <v>15448.043</v>
      </c>
      <c r="V41" s="164">
        <v>0</v>
      </c>
      <c r="W41" s="164">
        <v>15448.043</v>
      </c>
      <c r="X41" s="514"/>
      <c r="Y41" s="514"/>
      <c r="Z41" s="514"/>
      <c r="AA41" s="514"/>
      <c r="AB41" s="514"/>
      <c r="AC41" s="514"/>
      <c r="AD41" s="514"/>
      <c r="AE41" s="164"/>
      <c r="AF41" s="160"/>
      <c r="AG41" s="160">
        <f>+AG42</f>
        <v>4214.7941499999997</v>
      </c>
      <c r="AH41" s="170">
        <f t="shared" si="1"/>
        <v>27.283676968014653</v>
      </c>
    </row>
    <row r="42" spans="1:34" ht="21.75" customHeight="1" x14ac:dyDescent="0.2">
      <c r="A42" s="141"/>
      <c r="B42" s="515" t="s">
        <v>462</v>
      </c>
      <c r="C42" s="515"/>
      <c r="D42" s="515"/>
      <c r="E42" s="515"/>
      <c r="F42" s="515"/>
      <c r="G42" s="515"/>
      <c r="H42" s="515"/>
      <c r="I42" s="515"/>
      <c r="J42" s="515"/>
      <c r="K42" s="515"/>
      <c r="L42" s="515"/>
      <c r="M42" s="515"/>
      <c r="N42" s="143">
        <v>802</v>
      </c>
      <c r="O42" s="144">
        <v>8</v>
      </c>
      <c r="P42" s="144">
        <v>1</v>
      </c>
      <c r="Q42" s="145" t="s">
        <v>463</v>
      </c>
      <c r="R42" s="146">
        <v>0</v>
      </c>
      <c r="S42" s="500"/>
      <c r="T42" s="500"/>
      <c r="U42" s="164">
        <v>15448.043</v>
      </c>
      <c r="V42" s="164">
        <v>0</v>
      </c>
      <c r="W42" s="164">
        <v>15448.043</v>
      </c>
      <c r="X42" s="514"/>
      <c r="Y42" s="514"/>
      <c r="Z42" s="514"/>
      <c r="AA42" s="514"/>
      <c r="AB42" s="514"/>
      <c r="AC42" s="514"/>
      <c r="AD42" s="514"/>
      <c r="AE42" s="164"/>
      <c r="AF42" s="160"/>
      <c r="AG42" s="160">
        <f>+AG43</f>
        <v>4214.7941499999997</v>
      </c>
      <c r="AH42" s="170">
        <f t="shared" si="1"/>
        <v>27.283676968014653</v>
      </c>
    </row>
    <row r="43" spans="1:34" ht="21.75" customHeight="1" x14ac:dyDescent="0.2">
      <c r="A43" s="141"/>
      <c r="B43" s="515" t="s">
        <v>15</v>
      </c>
      <c r="C43" s="515"/>
      <c r="D43" s="515"/>
      <c r="E43" s="515"/>
      <c r="F43" s="515"/>
      <c r="G43" s="515"/>
      <c r="H43" s="515"/>
      <c r="I43" s="515"/>
      <c r="J43" s="515"/>
      <c r="K43" s="515"/>
      <c r="L43" s="515"/>
      <c r="M43" s="515"/>
      <c r="N43" s="143">
        <v>802</v>
      </c>
      <c r="O43" s="144">
        <v>8</v>
      </c>
      <c r="P43" s="144">
        <v>1</v>
      </c>
      <c r="Q43" s="145" t="s">
        <v>464</v>
      </c>
      <c r="R43" s="146">
        <v>0</v>
      </c>
      <c r="S43" s="500"/>
      <c r="T43" s="500"/>
      <c r="U43" s="164">
        <v>15448.043</v>
      </c>
      <c r="V43" s="164">
        <v>0</v>
      </c>
      <c r="W43" s="164">
        <v>15448.043</v>
      </c>
      <c r="X43" s="514"/>
      <c r="Y43" s="514"/>
      <c r="Z43" s="514"/>
      <c r="AA43" s="514"/>
      <c r="AB43" s="514"/>
      <c r="AC43" s="514"/>
      <c r="AD43" s="514"/>
      <c r="AE43" s="164"/>
      <c r="AF43" s="160"/>
      <c r="AG43" s="160">
        <f>+AG44</f>
        <v>4214.7941499999997</v>
      </c>
      <c r="AH43" s="170">
        <f t="shared" si="1"/>
        <v>27.283676968014653</v>
      </c>
    </row>
    <row r="44" spans="1:34" ht="21.75" customHeight="1" x14ac:dyDescent="0.2">
      <c r="A44" s="141"/>
      <c r="B44" s="515" t="s">
        <v>436</v>
      </c>
      <c r="C44" s="515"/>
      <c r="D44" s="515"/>
      <c r="E44" s="515"/>
      <c r="F44" s="515"/>
      <c r="G44" s="515"/>
      <c r="H44" s="515"/>
      <c r="I44" s="515"/>
      <c r="J44" s="515"/>
      <c r="K44" s="515"/>
      <c r="L44" s="515"/>
      <c r="M44" s="515"/>
      <c r="N44" s="143">
        <v>802</v>
      </c>
      <c r="O44" s="144">
        <v>8</v>
      </c>
      <c r="P44" s="144">
        <v>1</v>
      </c>
      <c r="Q44" s="145" t="s">
        <v>464</v>
      </c>
      <c r="R44" s="146" t="s">
        <v>8</v>
      </c>
      <c r="S44" s="500"/>
      <c r="T44" s="500"/>
      <c r="U44" s="164">
        <v>15448.043</v>
      </c>
      <c r="V44" s="164">
        <v>0</v>
      </c>
      <c r="W44" s="164">
        <v>15448.043</v>
      </c>
      <c r="X44" s="514"/>
      <c r="Y44" s="514"/>
      <c r="Z44" s="514"/>
      <c r="AA44" s="514"/>
      <c r="AB44" s="514"/>
      <c r="AC44" s="514"/>
      <c r="AD44" s="514"/>
      <c r="AE44" s="164"/>
      <c r="AF44" s="160"/>
      <c r="AG44" s="160">
        <f>+AG45</f>
        <v>4214.7941499999997</v>
      </c>
      <c r="AH44" s="170">
        <f t="shared" si="1"/>
        <v>27.283676968014653</v>
      </c>
    </row>
    <row r="45" spans="1:34" ht="12" customHeight="1" x14ac:dyDescent="0.2">
      <c r="A45" s="141"/>
      <c r="B45" s="515" t="s">
        <v>9</v>
      </c>
      <c r="C45" s="515"/>
      <c r="D45" s="515"/>
      <c r="E45" s="515"/>
      <c r="F45" s="515"/>
      <c r="G45" s="515"/>
      <c r="H45" s="515"/>
      <c r="I45" s="515"/>
      <c r="J45" s="515"/>
      <c r="K45" s="515"/>
      <c r="L45" s="515"/>
      <c r="M45" s="515"/>
      <c r="N45" s="143">
        <v>802</v>
      </c>
      <c r="O45" s="144">
        <v>8</v>
      </c>
      <c r="P45" s="144">
        <v>1</v>
      </c>
      <c r="Q45" s="145" t="s">
        <v>464</v>
      </c>
      <c r="R45" s="146" t="s">
        <v>10</v>
      </c>
      <c r="S45" s="500"/>
      <c r="T45" s="500"/>
      <c r="U45" s="164">
        <v>15448.043</v>
      </c>
      <c r="V45" s="164">
        <v>0</v>
      </c>
      <c r="W45" s="164">
        <v>15448.043</v>
      </c>
      <c r="X45" s="514"/>
      <c r="Y45" s="514"/>
      <c r="Z45" s="514"/>
      <c r="AA45" s="514"/>
      <c r="AB45" s="514"/>
      <c r="AC45" s="514"/>
      <c r="AD45" s="514"/>
      <c r="AE45" s="164"/>
      <c r="AF45" s="160"/>
      <c r="AG45" s="160">
        <f>+AG46</f>
        <v>4214.7941499999997</v>
      </c>
      <c r="AH45" s="170">
        <f t="shared" si="1"/>
        <v>27.283676968014653</v>
      </c>
    </row>
    <row r="46" spans="1:34" ht="42.75" customHeight="1" x14ac:dyDescent="0.2">
      <c r="A46" s="141"/>
      <c r="B46" s="515" t="s">
        <v>11</v>
      </c>
      <c r="C46" s="515"/>
      <c r="D46" s="515"/>
      <c r="E46" s="515"/>
      <c r="F46" s="515"/>
      <c r="G46" s="515"/>
      <c r="H46" s="515"/>
      <c r="I46" s="515"/>
      <c r="J46" s="515"/>
      <c r="K46" s="515"/>
      <c r="L46" s="515"/>
      <c r="M46" s="515"/>
      <c r="N46" s="143">
        <v>802</v>
      </c>
      <c r="O46" s="144">
        <v>8</v>
      </c>
      <c r="P46" s="144">
        <v>1</v>
      </c>
      <c r="Q46" s="145" t="s">
        <v>464</v>
      </c>
      <c r="R46" s="146" t="s">
        <v>12</v>
      </c>
      <c r="S46" s="500"/>
      <c r="T46" s="500"/>
      <c r="U46" s="164">
        <v>15448.043</v>
      </c>
      <c r="V46" s="164">
        <v>0</v>
      </c>
      <c r="W46" s="164">
        <v>15448.043</v>
      </c>
      <c r="X46" s="514"/>
      <c r="Y46" s="514"/>
      <c r="Z46" s="514"/>
      <c r="AA46" s="514"/>
      <c r="AB46" s="514"/>
      <c r="AC46" s="514"/>
      <c r="AD46" s="514"/>
      <c r="AE46" s="164"/>
      <c r="AF46" s="160"/>
      <c r="AG46" s="160">
        <v>4214.7941499999997</v>
      </c>
      <c r="AH46" s="170">
        <f t="shared" si="1"/>
        <v>27.283676968014653</v>
      </c>
    </row>
    <row r="47" spans="1:34" ht="21.75" customHeight="1" x14ac:dyDescent="0.2">
      <c r="A47" s="141"/>
      <c r="B47" s="515" t="s">
        <v>457</v>
      </c>
      <c r="C47" s="515"/>
      <c r="D47" s="515"/>
      <c r="E47" s="515"/>
      <c r="F47" s="515"/>
      <c r="G47" s="515"/>
      <c r="H47" s="515"/>
      <c r="I47" s="515"/>
      <c r="J47" s="515"/>
      <c r="K47" s="515"/>
      <c r="L47" s="515"/>
      <c r="M47" s="515"/>
      <c r="N47" s="143">
        <v>802</v>
      </c>
      <c r="O47" s="144">
        <v>8</v>
      </c>
      <c r="P47" s="144">
        <v>1</v>
      </c>
      <c r="Q47" s="145" t="s">
        <v>458</v>
      </c>
      <c r="R47" s="146">
        <v>0</v>
      </c>
      <c r="S47" s="500"/>
      <c r="T47" s="500"/>
      <c r="U47" s="164">
        <v>1081.5</v>
      </c>
      <c r="V47" s="164">
        <v>0</v>
      </c>
      <c r="W47" s="164">
        <v>1081.5</v>
      </c>
      <c r="X47" s="514"/>
      <c r="Y47" s="514"/>
      <c r="Z47" s="514"/>
      <c r="AA47" s="514"/>
      <c r="AB47" s="514"/>
      <c r="AC47" s="514"/>
      <c r="AD47" s="514"/>
      <c r="AE47" s="164"/>
      <c r="AF47" s="160"/>
      <c r="AG47" s="160">
        <f>+AG48</f>
        <v>0</v>
      </c>
      <c r="AH47" s="170">
        <f t="shared" si="1"/>
        <v>0</v>
      </c>
    </row>
    <row r="48" spans="1:34" ht="21.75" customHeight="1" x14ac:dyDescent="0.2">
      <c r="A48" s="141"/>
      <c r="B48" s="515" t="s">
        <v>462</v>
      </c>
      <c r="C48" s="515"/>
      <c r="D48" s="515"/>
      <c r="E48" s="515"/>
      <c r="F48" s="515"/>
      <c r="G48" s="515"/>
      <c r="H48" s="515"/>
      <c r="I48" s="515"/>
      <c r="J48" s="515"/>
      <c r="K48" s="515"/>
      <c r="L48" s="515"/>
      <c r="M48" s="515"/>
      <c r="N48" s="143">
        <v>802</v>
      </c>
      <c r="O48" s="144">
        <v>8</v>
      </c>
      <c r="P48" s="144">
        <v>1</v>
      </c>
      <c r="Q48" s="145" t="s">
        <v>463</v>
      </c>
      <c r="R48" s="146">
        <v>0</v>
      </c>
      <c r="S48" s="500"/>
      <c r="T48" s="500"/>
      <c r="U48" s="164">
        <v>1081.5</v>
      </c>
      <c r="V48" s="164">
        <v>0</v>
      </c>
      <c r="W48" s="164">
        <v>1081.5</v>
      </c>
      <c r="X48" s="514"/>
      <c r="Y48" s="514"/>
      <c r="Z48" s="514"/>
      <c r="AA48" s="514"/>
      <c r="AB48" s="514"/>
      <c r="AC48" s="514"/>
      <c r="AD48" s="514"/>
      <c r="AE48" s="164"/>
      <c r="AF48" s="160"/>
      <c r="AG48" s="160">
        <f>+AG49</f>
        <v>0</v>
      </c>
      <c r="AH48" s="170">
        <f t="shared" si="1"/>
        <v>0</v>
      </c>
    </row>
    <row r="49" spans="1:34" ht="42.75" customHeight="1" x14ac:dyDescent="0.2">
      <c r="A49" s="141"/>
      <c r="B49" s="515" t="s">
        <v>565</v>
      </c>
      <c r="C49" s="515"/>
      <c r="D49" s="515"/>
      <c r="E49" s="515"/>
      <c r="F49" s="515"/>
      <c r="G49" s="515"/>
      <c r="H49" s="515"/>
      <c r="I49" s="515"/>
      <c r="J49" s="515"/>
      <c r="K49" s="515"/>
      <c r="L49" s="515"/>
      <c r="M49" s="515"/>
      <c r="N49" s="143">
        <v>802</v>
      </c>
      <c r="O49" s="144">
        <v>8</v>
      </c>
      <c r="P49" s="144">
        <v>1</v>
      </c>
      <c r="Q49" s="145" t="s">
        <v>566</v>
      </c>
      <c r="R49" s="146">
        <v>0</v>
      </c>
      <c r="S49" s="500"/>
      <c r="T49" s="500"/>
      <c r="U49" s="164">
        <v>1081.5</v>
      </c>
      <c r="V49" s="164">
        <v>0</v>
      </c>
      <c r="W49" s="164">
        <v>1081.5</v>
      </c>
      <c r="X49" s="514"/>
      <c r="Y49" s="514"/>
      <c r="Z49" s="514"/>
      <c r="AA49" s="514"/>
      <c r="AB49" s="514"/>
      <c r="AC49" s="514"/>
      <c r="AD49" s="514"/>
      <c r="AE49" s="164"/>
      <c r="AF49" s="160"/>
      <c r="AG49" s="160">
        <f>+AG50</f>
        <v>0</v>
      </c>
      <c r="AH49" s="170">
        <f t="shared" si="1"/>
        <v>0</v>
      </c>
    </row>
    <row r="50" spans="1:34" ht="21.75" customHeight="1" x14ac:dyDescent="0.2">
      <c r="A50" s="141"/>
      <c r="B50" s="515" t="s">
        <v>436</v>
      </c>
      <c r="C50" s="515"/>
      <c r="D50" s="515"/>
      <c r="E50" s="515"/>
      <c r="F50" s="515"/>
      <c r="G50" s="515"/>
      <c r="H50" s="515"/>
      <c r="I50" s="515"/>
      <c r="J50" s="515"/>
      <c r="K50" s="515"/>
      <c r="L50" s="515"/>
      <c r="M50" s="515"/>
      <c r="N50" s="143">
        <v>802</v>
      </c>
      <c r="O50" s="144">
        <v>8</v>
      </c>
      <c r="P50" s="144">
        <v>1</v>
      </c>
      <c r="Q50" s="145" t="s">
        <v>566</v>
      </c>
      <c r="R50" s="146" t="s">
        <v>8</v>
      </c>
      <c r="S50" s="500"/>
      <c r="T50" s="500"/>
      <c r="U50" s="164">
        <v>1081.5</v>
      </c>
      <c r="V50" s="164">
        <v>0</v>
      </c>
      <c r="W50" s="164">
        <v>1081.5</v>
      </c>
      <c r="X50" s="514"/>
      <c r="Y50" s="514"/>
      <c r="Z50" s="514"/>
      <c r="AA50" s="514"/>
      <c r="AB50" s="514"/>
      <c r="AC50" s="514"/>
      <c r="AD50" s="514"/>
      <c r="AE50" s="164"/>
      <c r="AF50" s="160"/>
      <c r="AG50" s="160">
        <f>+AG51</f>
        <v>0</v>
      </c>
      <c r="AH50" s="170">
        <f t="shared" si="1"/>
        <v>0</v>
      </c>
    </row>
    <row r="51" spans="1:34" ht="12" customHeight="1" x14ac:dyDescent="0.2">
      <c r="A51" s="141"/>
      <c r="B51" s="515" t="s">
        <v>9</v>
      </c>
      <c r="C51" s="515"/>
      <c r="D51" s="515"/>
      <c r="E51" s="515"/>
      <c r="F51" s="515"/>
      <c r="G51" s="515"/>
      <c r="H51" s="515"/>
      <c r="I51" s="515"/>
      <c r="J51" s="515"/>
      <c r="K51" s="515"/>
      <c r="L51" s="515"/>
      <c r="M51" s="515"/>
      <c r="N51" s="143">
        <v>802</v>
      </c>
      <c r="O51" s="144">
        <v>8</v>
      </c>
      <c r="P51" s="144">
        <v>1</v>
      </c>
      <c r="Q51" s="145" t="s">
        <v>566</v>
      </c>
      <c r="R51" s="146" t="s">
        <v>10</v>
      </c>
      <c r="S51" s="500"/>
      <c r="T51" s="500"/>
      <c r="U51" s="164">
        <v>1081.5</v>
      </c>
      <c r="V51" s="164">
        <v>0</v>
      </c>
      <c r="W51" s="164">
        <v>1081.5</v>
      </c>
      <c r="X51" s="514"/>
      <c r="Y51" s="514"/>
      <c r="Z51" s="514"/>
      <c r="AA51" s="514"/>
      <c r="AB51" s="514"/>
      <c r="AC51" s="514"/>
      <c r="AD51" s="514"/>
      <c r="AE51" s="164"/>
      <c r="AF51" s="160"/>
      <c r="AG51" s="160">
        <f>+AG52+AG53</f>
        <v>0</v>
      </c>
      <c r="AH51" s="170">
        <f t="shared" si="1"/>
        <v>0</v>
      </c>
    </row>
    <row r="52" spans="1:34" ht="42.75" customHeight="1" x14ac:dyDescent="0.2">
      <c r="A52" s="141"/>
      <c r="B52" s="515" t="s">
        <v>11</v>
      </c>
      <c r="C52" s="515"/>
      <c r="D52" s="515"/>
      <c r="E52" s="515"/>
      <c r="F52" s="515"/>
      <c r="G52" s="515"/>
      <c r="H52" s="515"/>
      <c r="I52" s="515"/>
      <c r="J52" s="515"/>
      <c r="K52" s="515"/>
      <c r="L52" s="515"/>
      <c r="M52" s="515"/>
      <c r="N52" s="143">
        <v>802</v>
      </c>
      <c r="O52" s="144">
        <v>8</v>
      </c>
      <c r="P52" s="144">
        <v>1</v>
      </c>
      <c r="Q52" s="145" t="s">
        <v>566</v>
      </c>
      <c r="R52" s="146" t="s">
        <v>12</v>
      </c>
      <c r="S52" s="500"/>
      <c r="T52" s="500"/>
      <c r="U52" s="164">
        <v>51.5</v>
      </c>
      <c r="V52" s="164">
        <v>0</v>
      </c>
      <c r="W52" s="164">
        <v>51.5</v>
      </c>
      <c r="X52" s="514"/>
      <c r="Y52" s="514"/>
      <c r="Z52" s="514"/>
      <c r="AA52" s="514"/>
      <c r="AB52" s="514"/>
      <c r="AC52" s="514"/>
      <c r="AD52" s="514"/>
      <c r="AE52" s="164"/>
      <c r="AF52" s="160"/>
      <c r="AG52" s="160"/>
      <c r="AH52" s="170">
        <f t="shared" si="1"/>
        <v>0</v>
      </c>
    </row>
    <row r="53" spans="1:34" ht="12" customHeight="1" x14ac:dyDescent="0.2">
      <c r="A53" s="141"/>
      <c r="B53" s="515" t="s">
        <v>152</v>
      </c>
      <c r="C53" s="515"/>
      <c r="D53" s="515"/>
      <c r="E53" s="515"/>
      <c r="F53" s="515"/>
      <c r="G53" s="515"/>
      <c r="H53" s="515"/>
      <c r="I53" s="515"/>
      <c r="J53" s="515"/>
      <c r="K53" s="515"/>
      <c r="L53" s="515"/>
      <c r="M53" s="515"/>
      <c r="N53" s="143">
        <v>802</v>
      </c>
      <c r="O53" s="144">
        <v>8</v>
      </c>
      <c r="P53" s="144">
        <v>1</v>
      </c>
      <c r="Q53" s="145" t="s">
        <v>566</v>
      </c>
      <c r="R53" s="146" t="s">
        <v>151</v>
      </c>
      <c r="S53" s="500"/>
      <c r="T53" s="500"/>
      <c r="U53" s="164">
        <v>1030</v>
      </c>
      <c r="V53" s="164">
        <v>0</v>
      </c>
      <c r="W53" s="164">
        <v>1030</v>
      </c>
      <c r="X53" s="514"/>
      <c r="Y53" s="514"/>
      <c r="Z53" s="514"/>
      <c r="AA53" s="514"/>
      <c r="AB53" s="514"/>
      <c r="AC53" s="514"/>
      <c r="AD53" s="514"/>
      <c r="AE53" s="164"/>
      <c r="AF53" s="160"/>
      <c r="AG53" s="160"/>
      <c r="AH53" s="170">
        <f t="shared" si="1"/>
        <v>0</v>
      </c>
    </row>
    <row r="54" spans="1:34" ht="21.75" customHeight="1" x14ac:dyDescent="0.2">
      <c r="A54" s="141"/>
      <c r="B54" s="515" t="s">
        <v>457</v>
      </c>
      <c r="C54" s="515"/>
      <c r="D54" s="515"/>
      <c r="E54" s="515"/>
      <c r="F54" s="515"/>
      <c r="G54" s="515"/>
      <c r="H54" s="515"/>
      <c r="I54" s="515"/>
      <c r="J54" s="515"/>
      <c r="K54" s="515"/>
      <c r="L54" s="515"/>
      <c r="M54" s="515"/>
      <c r="N54" s="143">
        <v>802</v>
      </c>
      <c r="O54" s="144">
        <v>8</v>
      </c>
      <c r="P54" s="144">
        <v>1</v>
      </c>
      <c r="Q54" s="145" t="s">
        <v>458</v>
      </c>
      <c r="R54" s="146">
        <v>0</v>
      </c>
      <c r="S54" s="500"/>
      <c r="T54" s="500"/>
      <c r="U54" s="164">
        <v>21511.021000000001</v>
      </c>
      <c r="V54" s="164">
        <v>0</v>
      </c>
      <c r="W54" s="164">
        <v>21511.021000000001</v>
      </c>
      <c r="X54" s="514"/>
      <c r="Y54" s="514"/>
      <c r="Z54" s="514"/>
      <c r="AA54" s="514"/>
      <c r="AB54" s="514"/>
      <c r="AC54" s="514"/>
      <c r="AD54" s="514"/>
      <c r="AE54" s="164"/>
      <c r="AF54" s="160"/>
      <c r="AG54" s="160">
        <f>+AG55</f>
        <v>6255.3161199999995</v>
      </c>
      <c r="AH54" s="170">
        <f t="shared" si="1"/>
        <v>29.07958724971725</v>
      </c>
    </row>
    <row r="55" spans="1:34" ht="21.75" customHeight="1" x14ac:dyDescent="0.2">
      <c r="A55" s="141"/>
      <c r="B55" s="515" t="s">
        <v>462</v>
      </c>
      <c r="C55" s="515"/>
      <c r="D55" s="515"/>
      <c r="E55" s="515"/>
      <c r="F55" s="515"/>
      <c r="G55" s="515"/>
      <c r="H55" s="515"/>
      <c r="I55" s="515"/>
      <c r="J55" s="515"/>
      <c r="K55" s="515"/>
      <c r="L55" s="515"/>
      <c r="M55" s="515"/>
      <c r="N55" s="143">
        <v>802</v>
      </c>
      <c r="O55" s="144">
        <v>8</v>
      </c>
      <c r="P55" s="144">
        <v>1</v>
      </c>
      <c r="Q55" s="145" t="s">
        <v>463</v>
      </c>
      <c r="R55" s="146">
        <v>0</v>
      </c>
      <c r="S55" s="500"/>
      <c r="T55" s="500"/>
      <c r="U55" s="164">
        <v>21511.021000000001</v>
      </c>
      <c r="V55" s="164">
        <v>0</v>
      </c>
      <c r="W55" s="164">
        <v>21511.021000000001</v>
      </c>
      <c r="X55" s="514"/>
      <c r="Y55" s="514"/>
      <c r="Z55" s="514"/>
      <c r="AA55" s="514"/>
      <c r="AB55" s="514"/>
      <c r="AC55" s="514"/>
      <c r="AD55" s="514"/>
      <c r="AE55" s="164"/>
      <c r="AF55" s="160"/>
      <c r="AG55" s="160">
        <f>+AG56</f>
        <v>6255.3161199999995</v>
      </c>
      <c r="AH55" s="170">
        <f t="shared" si="1"/>
        <v>29.07958724971725</v>
      </c>
    </row>
    <row r="56" spans="1:34" ht="21.75" customHeight="1" x14ac:dyDescent="0.2">
      <c r="A56" s="141"/>
      <c r="B56" s="515" t="s">
        <v>16</v>
      </c>
      <c r="C56" s="515"/>
      <c r="D56" s="515"/>
      <c r="E56" s="515"/>
      <c r="F56" s="515"/>
      <c r="G56" s="515"/>
      <c r="H56" s="515"/>
      <c r="I56" s="515"/>
      <c r="J56" s="515"/>
      <c r="K56" s="515"/>
      <c r="L56" s="515"/>
      <c r="M56" s="515"/>
      <c r="N56" s="143">
        <v>802</v>
      </c>
      <c r="O56" s="144">
        <v>8</v>
      </c>
      <c r="P56" s="144">
        <v>1</v>
      </c>
      <c r="Q56" s="145" t="s">
        <v>465</v>
      </c>
      <c r="R56" s="146">
        <v>0</v>
      </c>
      <c r="S56" s="500"/>
      <c r="T56" s="500"/>
      <c r="U56" s="164">
        <v>21511.021000000001</v>
      </c>
      <c r="V56" s="164">
        <v>0</v>
      </c>
      <c r="W56" s="164">
        <v>21511.021000000001</v>
      </c>
      <c r="X56" s="514"/>
      <c r="Y56" s="514"/>
      <c r="Z56" s="514"/>
      <c r="AA56" s="514"/>
      <c r="AB56" s="514"/>
      <c r="AC56" s="514"/>
      <c r="AD56" s="514"/>
      <c r="AE56" s="164"/>
      <c r="AF56" s="160"/>
      <c r="AG56" s="160">
        <f>+AG57+AG61+AG65</f>
        <v>6255.3161199999995</v>
      </c>
      <c r="AH56" s="170">
        <f t="shared" si="1"/>
        <v>29.07958724971725</v>
      </c>
    </row>
    <row r="57" spans="1:34" ht="53.25" customHeight="1" x14ac:dyDescent="0.2">
      <c r="A57" s="141"/>
      <c r="B57" s="515" t="s">
        <v>17</v>
      </c>
      <c r="C57" s="515"/>
      <c r="D57" s="515"/>
      <c r="E57" s="515"/>
      <c r="F57" s="515"/>
      <c r="G57" s="515"/>
      <c r="H57" s="515"/>
      <c r="I57" s="515"/>
      <c r="J57" s="515"/>
      <c r="K57" s="515"/>
      <c r="L57" s="515"/>
      <c r="M57" s="515"/>
      <c r="N57" s="143">
        <v>802</v>
      </c>
      <c r="O57" s="144">
        <v>8</v>
      </c>
      <c r="P57" s="144">
        <v>1</v>
      </c>
      <c r="Q57" s="145" t="s">
        <v>465</v>
      </c>
      <c r="R57" s="146" t="s">
        <v>18</v>
      </c>
      <c r="S57" s="500"/>
      <c r="T57" s="500"/>
      <c r="U57" s="164">
        <v>21166.821</v>
      </c>
      <c r="V57" s="164">
        <v>0</v>
      </c>
      <c r="W57" s="164">
        <v>21166.821</v>
      </c>
      <c r="X57" s="514"/>
      <c r="Y57" s="514"/>
      <c r="Z57" s="514"/>
      <c r="AA57" s="514"/>
      <c r="AB57" s="514"/>
      <c r="AC57" s="514"/>
      <c r="AD57" s="514"/>
      <c r="AE57" s="164"/>
      <c r="AF57" s="160"/>
      <c r="AG57" s="160">
        <f>+AG58</f>
        <v>6225.8265499999998</v>
      </c>
      <c r="AH57" s="170">
        <f t="shared" si="1"/>
        <v>29.413139318370007</v>
      </c>
    </row>
    <row r="58" spans="1:34" ht="12" customHeight="1" x14ac:dyDescent="0.2">
      <c r="A58" s="141"/>
      <c r="B58" s="515" t="s">
        <v>19</v>
      </c>
      <c r="C58" s="515"/>
      <c r="D58" s="515"/>
      <c r="E58" s="515"/>
      <c r="F58" s="515"/>
      <c r="G58" s="515"/>
      <c r="H58" s="515"/>
      <c r="I58" s="515"/>
      <c r="J58" s="515"/>
      <c r="K58" s="515"/>
      <c r="L58" s="515"/>
      <c r="M58" s="515"/>
      <c r="N58" s="143">
        <v>802</v>
      </c>
      <c r="O58" s="144">
        <v>8</v>
      </c>
      <c r="P58" s="144">
        <v>1</v>
      </c>
      <c r="Q58" s="145" t="s">
        <v>465</v>
      </c>
      <c r="R58" s="146" t="s">
        <v>20</v>
      </c>
      <c r="S58" s="500"/>
      <c r="T58" s="500"/>
      <c r="U58" s="164">
        <v>21166.821</v>
      </c>
      <c r="V58" s="164">
        <v>0</v>
      </c>
      <c r="W58" s="164">
        <v>21166.821</v>
      </c>
      <c r="X58" s="514"/>
      <c r="Y58" s="514"/>
      <c r="Z58" s="514"/>
      <c r="AA58" s="514"/>
      <c r="AB58" s="514"/>
      <c r="AC58" s="514"/>
      <c r="AD58" s="514"/>
      <c r="AE58" s="164"/>
      <c r="AF58" s="160"/>
      <c r="AG58" s="160">
        <f>+AG59+AG60</f>
        <v>6225.8265499999998</v>
      </c>
      <c r="AH58" s="170">
        <f t="shared" si="1"/>
        <v>29.413139318370007</v>
      </c>
    </row>
    <row r="59" spans="1:34" ht="12" customHeight="1" x14ac:dyDescent="0.2">
      <c r="A59" s="141"/>
      <c r="B59" s="515" t="s">
        <v>404</v>
      </c>
      <c r="C59" s="515"/>
      <c r="D59" s="515"/>
      <c r="E59" s="515"/>
      <c r="F59" s="515"/>
      <c r="G59" s="515"/>
      <c r="H59" s="515"/>
      <c r="I59" s="515"/>
      <c r="J59" s="515"/>
      <c r="K59" s="515"/>
      <c r="L59" s="515"/>
      <c r="M59" s="515"/>
      <c r="N59" s="143">
        <v>802</v>
      </c>
      <c r="O59" s="144">
        <v>8</v>
      </c>
      <c r="P59" s="144">
        <v>1</v>
      </c>
      <c r="Q59" s="145" t="s">
        <v>465</v>
      </c>
      <c r="R59" s="146" t="s">
        <v>21</v>
      </c>
      <c r="S59" s="500"/>
      <c r="T59" s="500"/>
      <c r="U59" s="164">
        <v>16257.159</v>
      </c>
      <c r="V59" s="164">
        <v>0</v>
      </c>
      <c r="W59" s="164">
        <v>16257.159</v>
      </c>
      <c r="X59" s="514"/>
      <c r="Y59" s="514"/>
      <c r="Z59" s="514"/>
      <c r="AA59" s="514"/>
      <c r="AB59" s="514"/>
      <c r="AC59" s="514"/>
      <c r="AD59" s="514"/>
      <c r="AE59" s="164"/>
      <c r="AF59" s="160"/>
      <c r="AG59" s="160">
        <v>4782.5609999999997</v>
      </c>
      <c r="AH59" s="170">
        <f t="shared" si="1"/>
        <v>29.418184321135076</v>
      </c>
    </row>
    <row r="60" spans="1:34" ht="32.25" customHeight="1" x14ac:dyDescent="0.2">
      <c r="A60" s="141"/>
      <c r="B60" s="515" t="s">
        <v>406</v>
      </c>
      <c r="C60" s="515"/>
      <c r="D60" s="515"/>
      <c r="E60" s="515"/>
      <c r="F60" s="515"/>
      <c r="G60" s="515"/>
      <c r="H60" s="515"/>
      <c r="I60" s="515"/>
      <c r="J60" s="515"/>
      <c r="K60" s="515"/>
      <c r="L60" s="515"/>
      <c r="M60" s="515"/>
      <c r="N60" s="143">
        <v>802</v>
      </c>
      <c r="O60" s="144">
        <v>8</v>
      </c>
      <c r="P60" s="144">
        <v>1</v>
      </c>
      <c r="Q60" s="145" t="s">
        <v>465</v>
      </c>
      <c r="R60" s="146" t="s">
        <v>23</v>
      </c>
      <c r="S60" s="500"/>
      <c r="T60" s="500"/>
      <c r="U60" s="164">
        <v>4909.6620000000003</v>
      </c>
      <c r="V60" s="164">
        <v>0</v>
      </c>
      <c r="W60" s="164">
        <v>4909.6620000000003</v>
      </c>
      <c r="X60" s="514"/>
      <c r="Y60" s="514"/>
      <c r="Z60" s="514"/>
      <c r="AA60" s="514"/>
      <c r="AB60" s="514"/>
      <c r="AC60" s="514"/>
      <c r="AD60" s="514"/>
      <c r="AE60" s="164"/>
      <c r="AF60" s="160"/>
      <c r="AG60" s="160">
        <v>1443.2655500000001</v>
      </c>
      <c r="AH60" s="170">
        <f t="shared" si="1"/>
        <v>29.396434011139664</v>
      </c>
    </row>
    <row r="61" spans="1:34" ht="21.75" customHeight="1" x14ac:dyDescent="0.2">
      <c r="A61" s="141"/>
      <c r="B61" s="515" t="s">
        <v>345</v>
      </c>
      <c r="C61" s="515"/>
      <c r="D61" s="515"/>
      <c r="E61" s="515"/>
      <c r="F61" s="515"/>
      <c r="G61" s="515"/>
      <c r="H61" s="515"/>
      <c r="I61" s="515"/>
      <c r="J61" s="515"/>
      <c r="K61" s="515"/>
      <c r="L61" s="515"/>
      <c r="M61" s="515"/>
      <c r="N61" s="143">
        <v>802</v>
      </c>
      <c r="O61" s="144">
        <v>8</v>
      </c>
      <c r="P61" s="144">
        <v>1</v>
      </c>
      <c r="Q61" s="145" t="s">
        <v>465</v>
      </c>
      <c r="R61" s="146" t="s">
        <v>24</v>
      </c>
      <c r="S61" s="500"/>
      <c r="T61" s="500"/>
      <c r="U61" s="164">
        <v>335.7</v>
      </c>
      <c r="V61" s="164">
        <v>0</v>
      </c>
      <c r="W61" s="164">
        <v>335.7</v>
      </c>
      <c r="X61" s="514"/>
      <c r="Y61" s="514"/>
      <c r="Z61" s="514"/>
      <c r="AA61" s="514"/>
      <c r="AB61" s="514"/>
      <c r="AC61" s="514"/>
      <c r="AD61" s="514"/>
      <c r="AE61" s="164"/>
      <c r="AF61" s="160"/>
      <c r="AG61" s="160">
        <f>+AG62</f>
        <v>29.489570000000001</v>
      </c>
      <c r="AH61" s="170">
        <f t="shared" si="1"/>
        <v>8.784501042597558</v>
      </c>
    </row>
    <row r="62" spans="1:34" ht="21.75" customHeight="1" x14ac:dyDescent="0.2">
      <c r="A62" s="141"/>
      <c r="B62" s="515" t="s">
        <v>346</v>
      </c>
      <c r="C62" s="515"/>
      <c r="D62" s="515"/>
      <c r="E62" s="515"/>
      <c r="F62" s="515"/>
      <c r="G62" s="515"/>
      <c r="H62" s="515"/>
      <c r="I62" s="515"/>
      <c r="J62" s="515"/>
      <c r="K62" s="515"/>
      <c r="L62" s="515"/>
      <c r="M62" s="515"/>
      <c r="N62" s="143">
        <v>802</v>
      </c>
      <c r="O62" s="144">
        <v>8</v>
      </c>
      <c r="P62" s="144">
        <v>1</v>
      </c>
      <c r="Q62" s="145" t="s">
        <v>465</v>
      </c>
      <c r="R62" s="146" t="s">
        <v>26</v>
      </c>
      <c r="S62" s="500"/>
      <c r="T62" s="500"/>
      <c r="U62" s="164">
        <v>335.7</v>
      </c>
      <c r="V62" s="164">
        <v>0</v>
      </c>
      <c r="W62" s="164">
        <v>335.7</v>
      </c>
      <c r="X62" s="514"/>
      <c r="Y62" s="514"/>
      <c r="Z62" s="514"/>
      <c r="AA62" s="514"/>
      <c r="AB62" s="514"/>
      <c r="AC62" s="514"/>
      <c r="AD62" s="514"/>
      <c r="AE62" s="164"/>
      <c r="AF62" s="160"/>
      <c r="AG62" s="160">
        <f>+AG63+AG64</f>
        <v>29.489570000000001</v>
      </c>
      <c r="AH62" s="170">
        <f t="shared" si="1"/>
        <v>8.784501042597558</v>
      </c>
    </row>
    <row r="63" spans="1:34" ht="21.75" customHeight="1" x14ac:dyDescent="0.2">
      <c r="A63" s="141"/>
      <c r="B63" s="515" t="s">
        <v>347</v>
      </c>
      <c r="C63" s="515"/>
      <c r="D63" s="515"/>
      <c r="E63" s="515"/>
      <c r="F63" s="515"/>
      <c r="G63" s="515"/>
      <c r="H63" s="515"/>
      <c r="I63" s="515"/>
      <c r="J63" s="515"/>
      <c r="K63" s="515"/>
      <c r="L63" s="515"/>
      <c r="M63" s="515"/>
      <c r="N63" s="143">
        <v>802</v>
      </c>
      <c r="O63" s="144">
        <v>8</v>
      </c>
      <c r="P63" s="144">
        <v>1</v>
      </c>
      <c r="Q63" s="145" t="s">
        <v>465</v>
      </c>
      <c r="R63" s="146" t="s">
        <v>27</v>
      </c>
      <c r="S63" s="500"/>
      <c r="T63" s="500"/>
      <c r="U63" s="164">
        <v>52.6</v>
      </c>
      <c r="V63" s="164">
        <v>0</v>
      </c>
      <c r="W63" s="164">
        <v>52.6</v>
      </c>
      <c r="X63" s="514"/>
      <c r="Y63" s="514"/>
      <c r="Z63" s="514"/>
      <c r="AA63" s="514"/>
      <c r="AB63" s="514"/>
      <c r="AC63" s="514"/>
      <c r="AD63" s="514"/>
      <c r="AE63" s="164"/>
      <c r="AF63" s="160"/>
      <c r="AG63" s="160">
        <v>24.489570000000001</v>
      </c>
      <c r="AH63" s="170">
        <f t="shared" si="1"/>
        <v>46.558117870722434</v>
      </c>
    </row>
    <row r="64" spans="1:34" ht="12" customHeight="1" x14ac:dyDescent="0.2">
      <c r="A64" s="141"/>
      <c r="B64" s="515" t="s">
        <v>348</v>
      </c>
      <c r="C64" s="515"/>
      <c r="D64" s="515"/>
      <c r="E64" s="515"/>
      <c r="F64" s="515"/>
      <c r="G64" s="515"/>
      <c r="H64" s="515"/>
      <c r="I64" s="515"/>
      <c r="J64" s="515"/>
      <c r="K64" s="515"/>
      <c r="L64" s="515"/>
      <c r="M64" s="515"/>
      <c r="N64" s="143">
        <v>802</v>
      </c>
      <c r="O64" s="144">
        <v>8</v>
      </c>
      <c r="P64" s="144">
        <v>1</v>
      </c>
      <c r="Q64" s="145" t="s">
        <v>465</v>
      </c>
      <c r="R64" s="146" t="s">
        <v>28</v>
      </c>
      <c r="S64" s="500"/>
      <c r="T64" s="500"/>
      <c r="U64" s="164">
        <v>283.10000000000002</v>
      </c>
      <c r="V64" s="164">
        <v>0</v>
      </c>
      <c r="W64" s="164">
        <v>283.10000000000002</v>
      </c>
      <c r="X64" s="514"/>
      <c r="Y64" s="514"/>
      <c r="Z64" s="514"/>
      <c r="AA64" s="514"/>
      <c r="AB64" s="514"/>
      <c r="AC64" s="514"/>
      <c r="AD64" s="514"/>
      <c r="AE64" s="164"/>
      <c r="AF64" s="160"/>
      <c r="AG64" s="160">
        <v>5</v>
      </c>
      <c r="AH64" s="170">
        <f t="shared" si="1"/>
        <v>1.7661603673613562</v>
      </c>
    </row>
    <row r="65" spans="1:34" ht="12" customHeight="1" x14ac:dyDescent="0.2">
      <c r="A65" s="141"/>
      <c r="B65" s="515" t="s">
        <v>29</v>
      </c>
      <c r="C65" s="515"/>
      <c r="D65" s="515"/>
      <c r="E65" s="515"/>
      <c r="F65" s="515"/>
      <c r="G65" s="515"/>
      <c r="H65" s="515"/>
      <c r="I65" s="515"/>
      <c r="J65" s="515"/>
      <c r="K65" s="515"/>
      <c r="L65" s="515"/>
      <c r="M65" s="515"/>
      <c r="N65" s="143">
        <v>802</v>
      </c>
      <c r="O65" s="144">
        <v>8</v>
      </c>
      <c r="P65" s="144">
        <v>1</v>
      </c>
      <c r="Q65" s="145" t="s">
        <v>465</v>
      </c>
      <c r="R65" s="146" t="s">
        <v>30</v>
      </c>
      <c r="S65" s="500"/>
      <c r="T65" s="500"/>
      <c r="U65" s="164">
        <v>8.5</v>
      </c>
      <c r="V65" s="164">
        <v>0</v>
      </c>
      <c r="W65" s="164">
        <v>8.5</v>
      </c>
      <c r="X65" s="514"/>
      <c r="Y65" s="514"/>
      <c r="Z65" s="514"/>
      <c r="AA65" s="514"/>
      <c r="AB65" s="514"/>
      <c r="AC65" s="514"/>
      <c r="AD65" s="514"/>
      <c r="AE65" s="164"/>
      <c r="AF65" s="160"/>
      <c r="AG65" s="160">
        <f>+AG66</f>
        <v>0</v>
      </c>
      <c r="AH65" s="170">
        <f t="shared" si="1"/>
        <v>0</v>
      </c>
    </row>
    <row r="66" spans="1:34" ht="12" customHeight="1" x14ac:dyDescent="0.2">
      <c r="A66" s="141"/>
      <c r="B66" s="515" t="s">
        <v>349</v>
      </c>
      <c r="C66" s="515"/>
      <c r="D66" s="515"/>
      <c r="E66" s="515"/>
      <c r="F66" s="515"/>
      <c r="G66" s="515"/>
      <c r="H66" s="515"/>
      <c r="I66" s="515"/>
      <c r="J66" s="515"/>
      <c r="K66" s="515"/>
      <c r="L66" s="515"/>
      <c r="M66" s="515"/>
      <c r="N66" s="143">
        <v>802</v>
      </c>
      <c r="O66" s="144">
        <v>8</v>
      </c>
      <c r="P66" s="144">
        <v>1</v>
      </c>
      <c r="Q66" s="145" t="s">
        <v>465</v>
      </c>
      <c r="R66" s="146" t="s">
        <v>31</v>
      </c>
      <c r="S66" s="500"/>
      <c r="T66" s="500"/>
      <c r="U66" s="164">
        <v>8.5</v>
      </c>
      <c r="V66" s="164">
        <v>0</v>
      </c>
      <c r="W66" s="164">
        <v>8.5</v>
      </c>
      <c r="X66" s="514"/>
      <c r="Y66" s="514"/>
      <c r="Z66" s="514"/>
      <c r="AA66" s="514"/>
      <c r="AB66" s="514"/>
      <c r="AC66" s="514"/>
      <c r="AD66" s="514"/>
      <c r="AE66" s="164"/>
      <c r="AF66" s="160"/>
      <c r="AG66" s="160">
        <f>+AG67+AG68</f>
        <v>0</v>
      </c>
      <c r="AH66" s="170">
        <f t="shared" si="1"/>
        <v>0</v>
      </c>
    </row>
    <row r="67" spans="1:34" ht="21.75" customHeight="1" x14ac:dyDescent="0.2">
      <c r="A67" s="141"/>
      <c r="B67" s="515" t="s">
        <v>32</v>
      </c>
      <c r="C67" s="515"/>
      <c r="D67" s="515"/>
      <c r="E67" s="515"/>
      <c r="F67" s="515"/>
      <c r="G67" s="515"/>
      <c r="H67" s="515"/>
      <c r="I67" s="515"/>
      <c r="J67" s="515"/>
      <c r="K67" s="515"/>
      <c r="L67" s="515"/>
      <c r="M67" s="515"/>
      <c r="N67" s="143">
        <v>802</v>
      </c>
      <c r="O67" s="144">
        <v>8</v>
      </c>
      <c r="P67" s="144">
        <v>1</v>
      </c>
      <c r="Q67" s="145" t="s">
        <v>465</v>
      </c>
      <c r="R67" s="146" t="s">
        <v>33</v>
      </c>
      <c r="S67" s="500"/>
      <c r="T67" s="500"/>
      <c r="U67" s="164">
        <v>6</v>
      </c>
      <c r="V67" s="164">
        <v>0</v>
      </c>
      <c r="W67" s="164">
        <v>6</v>
      </c>
      <c r="X67" s="514"/>
      <c r="Y67" s="514"/>
      <c r="Z67" s="514"/>
      <c r="AA67" s="514"/>
      <c r="AB67" s="514"/>
      <c r="AC67" s="514"/>
      <c r="AD67" s="514"/>
      <c r="AE67" s="164"/>
      <c r="AF67" s="160"/>
      <c r="AG67" s="160"/>
      <c r="AH67" s="170">
        <f t="shared" si="1"/>
        <v>0</v>
      </c>
    </row>
    <row r="68" spans="1:34" ht="12" customHeight="1" x14ac:dyDescent="0.2">
      <c r="A68" s="141"/>
      <c r="B68" s="515" t="s">
        <v>350</v>
      </c>
      <c r="C68" s="515"/>
      <c r="D68" s="515"/>
      <c r="E68" s="515"/>
      <c r="F68" s="515"/>
      <c r="G68" s="515"/>
      <c r="H68" s="515"/>
      <c r="I68" s="515"/>
      <c r="J68" s="515"/>
      <c r="K68" s="515"/>
      <c r="L68" s="515"/>
      <c r="M68" s="515"/>
      <c r="N68" s="143">
        <v>802</v>
      </c>
      <c r="O68" s="144">
        <v>8</v>
      </c>
      <c r="P68" s="144">
        <v>1</v>
      </c>
      <c r="Q68" s="145" t="s">
        <v>465</v>
      </c>
      <c r="R68" s="146" t="s">
        <v>34</v>
      </c>
      <c r="S68" s="500"/>
      <c r="T68" s="500"/>
      <c r="U68" s="164">
        <v>2.5</v>
      </c>
      <c r="V68" s="164">
        <v>0</v>
      </c>
      <c r="W68" s="164">
        <v>2.5</v>
      </c>
      <c r="X68" s="514"/>
      <c r="Y68" s="514"/>
      <c r="Z68" s="514"/>
      <c r="AA68" s="514"/>
      <c r="AB68" s="514"/>
      <c r="AC68" s="514"/>
      <c r="AD68" s="514"/>
      <c r="AE68" s="164"/>
      <c r="AF68" s="160"/>
      <c r="AG68" s="160"/>
      <c r="AH68" s="170">
        <f t="shared" si="1"/>
        <v>0</v>
      </c>
    </row>
    <row r="69" spans="1:34" ht="21.75" customHeight="1" x14ac:dyDescent="0.2">
      <c r="A69" s="141"/>
      <c r="B69" s="515" t="s">
        <v>457</v>
      </c>
      <c r="C69" s="515"/>
      <c r="D69" s="515"/>
      <c r="E69" s="515"/>
      <c r="F69" s="515"/>
      <c r="G69" s="515"/>
      <c r="H69" s="515"/>
      <c r="I69" s="515"/>
      <c r="J69" s="515"/>
      <c r="K69" s="515"/>
      <c r="L69" s="515"/>
      <c r="M69" s="515"/>
      <c r="N69" s="143">
        <v>802</v>
      </c>
      <c r="O69" s="144">
        <v>8</v>
      </c>
      <c r="P69" s="144">
        <v>1</v>
      </c>
      <c r="Q69" s="145" t="s">
        <v>458</v>
      </c>
      <c r="R69" s="146">
        <v>0</v>
      </c>
      <c r="S69" s="500"/>
      <c r="T69" s="500"/>
      <c r="U69" s="164">
        <v>205</v>
      </c>
      <c r="V69" s="164">
        <v>0</v>
      </c>
      <c r="W69" s="164">
        <v>205</v>
      </c>
      <c r="X69" s="514"/>
      <c r="Y69" s="514"/>
      <c r="Z69" s="514"/>
      <c r="AA69" s="514"/>
      <c r="AB69" s="514"/>
      <c r="AC69" s="514"/>
      <c r="AD69" s="514"/>
      <c r="AE69" s="164"/>
      <c r="AF69" s="160"/>
      <c r="AG69" s="160">
        <f>+AG70</f>
        <v>0</v>
      </c>
      <c r="AH69" s="170">
        <f t="shared" si="1"/>
        <v>0</v>
      </c>
    </row>
    <row r="70" spans="1:34" ht="21.75" customHeight="1" x14ac:dyDescent="0.2">
      <c r="A70" s="141"/>
      <c r="B70" s="515" t="s">
        <v>585</v>
      </c>
      <c r="C70" s="515"/>
      <c r="D70" s="515"/>
      <c r="E70" s="515"/>
      <c r="F70" s="515"/>
      <c r="G70" s="515"/>
      <c r="H70" s="515"/>
      <c r="I70" s="515"/>
      <c r="J70" s="515"/>
      <c r="K70" s="515"/>
      <c r="L70" s="515"/>
      <c r="M70" s="515"/>
      <c r="N70" s="143">
        <v>802</v>
      </c>
      <c r="O70" s="144">
        <v>8</v>
      </c>
      <c r="P70" s="144">
        <v>1</v>
      </c>
      <c r="Q70" s="145" t="s">
        <v>586</v>
      </c>
      <c r="R70" s="146">
        <v>0</v>
      </c>
      <c r="S70" s="500"/>
      <c r="T70" s="500"/>
      <c r="U70" s="164">
        <v>205</v>
      </c>
      <c r="V70" s="164">
        <v>0</v>
      </c>
      <c r="W70" s="164">
        <v>205</v>
      </c>
      <c r="X70" s="514"/>
      <c r="Y70" s="514"/>
      <c r="Z70" s="514"/>
      <c r="AA70" s="514"/>
      <c r="AB70" s="514"/>
      <c r="AC70" s="514"/>
      <c r="AD70" s="514"/>
      <c r="AE70" s="164"/>
      <c r="AF70" s="160"/>
      <c r="AG70" s="160">
        <f>+AG71</f>
        <v>0</v>
      </c>
      <c r="AH70" s="170">
        <f t="shared" si="1"/>
        <v>0</v>
      </c>
    </row>
    <row r="71" spans="1:34" ht="21.75" customHeight="1" x14ac:dyDescent="0.2">
      <c r="A71" s="141"/>
      <c r="B71" s="515" t="s">
        <v>587</v>
      </c>
      <c r="C71" s="515"/>
      <c r="D71" s="515"/>
      <c r="E71" s="515"/>
      <c r="F71" s="515"/>
      <c r="G71" s="515"/>
      <c r="H71" s="515"/>
      <c r="I71" s="515"/>
      <c r="J71" s="515"/>
      <c r="K71" s="515"/>
      <c r="L71" s="515"/>
      <c r="M71" s="515"/>
      <c r="N71" s="143">
        <v>802</v>
      </c>
      <c r="O71" s="144">
        <v>8</v>
      </c>
      <c r="P71" s="144">
        <v>1</v>
      </c>
      <c r="Q71" s="145" t="s">
        <v>588</v>
      </c>
      <c r="R71" s="146">
        <v>0</v>
      </c>
      <c r="S71" s="500"/>
      <c r="T71" s="500"/>
      <c r="U71" s="164">
        <v>205</v>
      </c>
      <c r="V71" s="164">
        <v>0</v>
      </c>
      <c r="W71" s="164">
        <v>205</v>
      </c>
      <c r="X71" s="514"/>
      <c r="Y71" s="514"/>
      <c r="Z71" s="514"/>
      <c r="AA71" s="514"/>
      <c r="AB71" s="514"/>
      <c r="AC71" s="514"/>
      <c r="AD71" s="514"/>
      <c r="AE71" s="164"/>
      <c r="AF71" s="160"/>
      <c r="AG71" s="160">
        <f>+AG72</f>
        <v>0</v>
      </c>
      <c r="AH71" s="170">
        <f t="shared" si="1"/>
        <v>0</v>
      </c>
    </row>
    <row r="72" spans="1:34" ht="21.75" customHeight="1" x14ac:dyDescent="0.2">
      <c r="A72" s="141"/>
      <c r="B72" s="515" t="s">
        <v>345</v>
      </c>
      <c r="C72" s="515"/>
      <c r="D72" s="515"/>
      <c r="E72" s="515"/>
      <c r="F72" s="515"/>
      <c r="G72" s="515"/>
      <c r="H72" s="515"/>
      <c r="I72" s="515"/>
      <c r="J72" s="515"/>
      <c r="K72" s="515"/>
      <c r="L72" s="515"/>
      <c r="M72" s="515"/>
      <c r="N72" s="143">
        <v>802</v>
      </c>
      <c r="O72" s="144">
        <v>8</v>
      </c>
      <c r="P72" s="144">
        <v>1</v>
      </c>
      <c r="Q72" s="145" t="s">
        <v>588</v>
      </c>
      <c r="R72" s="146" t="s">
        <v>24</v>
      </c>
      <c r="S72" s="500"/>
      <c r="T72" s="500"/>
      <c r="U72" s="164">
        <v>205</v>
      </c>
      <c r="V72" s="164">
        <v>0</v>
      </c>
      <c r="W72" s="164">
        <v>205</v>
      </c>
      <c r="X72" s="514"/>
      <c r="Y72" s="514"/>
      <c r="Z72" s="514"/>
      <c r="AA72" s="514"/>
      <c r="AB72" s="514"/>
      <c r="AC72" s="514"/>
      <c r="AD72" s="514"/>
      <c r="AE72" s="164"/>
      <c r="AF72" s="160"/>
      <c r="AG72" s="160">
        <f>+AG73</f>
        <v>0</v>
      </c>
      <c r="AH72" s="170">
        <f t="shared" si="1"/>
        <v>0</v>
      </c>
    </row>
    <row r="73" spans="1:34" ht="21.75" customHeight="1" x14ac:dyDescent="0.2">
      <c r="A73" s="141"/>
      <c r="B73" s="515" t="s">
        <v>346</v>
      </c>
      <c r="C73" s="515"/>
      <c r="D73" s="515"/>
      <c r="E73" s="515"/>
      <c r="F73" s="515"/>
      <c r="G73" s="515"/>
      <c r="H73" s="515"/>
      <c r="I73" s="515"/>
      <c r="J73" s="515"/>
      <c r="K73" s="515"/>
      <c r="L73" s="515"/>
      <c r="M73" s="515"/>
      <c r="N73" s="143">
        <v>802</v>
      </c>
      <c r="O73" s="144">
        <v>8</v>
      </c>
      <c r="P73" s="144">
        <v>1</v>
      </c>
      <c r="Q73" s="145" t="s">
        <v>588</v>
      </c>
      <c r="R73" s="146" t="s">
        <v>26</v>
      </c>
      <c r="S73" s="500"/>
      <c r="T73" s="500"/>
      <c r="U73" s="164">
        <v>205</v>
      </c>
      <c r="V73" s="164">
        <v>0</v>
      </c>
      <c r="W73" s="164">
        <v>205</v>
      </c>
      <c r="X73" s="514"/>
      <c r="Y73" s="514"/>
      <c r="Z73" s="514"/>
      <c r="AA73" s="514"/>
      <c r="AB73" s="514"/>
      <c r="AC73" s="514"/>
      <c r="AD73" s="514"/>
      <c r="AE73" s="164"/>
      <c r="AF73" s="160"/>
      <c r="AG73" s="160">
        <f>+AG74</f>
        <v>0</v>
      </c>
      <c r="AH73" s="170">
        <f t="shared" si="1"/>
        <v>0</v>
      </c>
    </row>
    <row r="74" spans="1:34" ht="12" customHeight="1" x14ac:dyDescent="0.2">
      <c r="A74" s="141"/>
      <c r="B74" s="515" t="s">
        <v>348</v>
      </c>
      <c r="C74" s="515"/>
      <c r="D74" s="515"/>
      <c r="E74" s="515"/>
      <c r="F74" s="515"/>
      <c r="G74" s="515"/>
      <c r="H74" s="515"/>
      <c r="I74" s="515"/>
      <c r="J74" s="515"/>
      <c r="K74" s="515"/>
      <c r="L74" s="515"/>
      <c r="M74" s="515"/>
      <c r="N74" s="143">
        <v>802</v>
      </c>
      <c r="O74" s="144">
        <v>8</v>
      </c>
      <c r="P74" s="144">
        <v>1</v>
      </c>
      <c r="Q74" s="145" t="s">
        <v>588</v>
      </c>
      <c r="R74" s="146" t="s">
        <v>28</v>
      </c>
      <c r="S74" s="500"/>
      <c r="T74" s="500"/>
      <c r="U74" s="164">
        <v>205</v>
      </c>
      <c r="V74" s="164">
        <v>0</v>
      </c>
      <c r="W74" s="164">
        <v>205</v>
      </c>
      <c r="X74" s="514"/>
      <c r="Y74" s="514"/>
      <c r="Z74" s="514"/>
      <c r="AA74" s="514"/>
      <c r="AB74" s="514"/>
      <c r="AC74" s="514"/>
      <c r="AD74" s="514"/>
      <c r="AE74" s="164"/>
      <c r="AF74" s="160"/>
      <c r="AG74" s="160"/>
      <c r="AH74" s="170">
        <f t="shared" si="1"/>
        <v>0</v>
      </c>
    </row>
    <row r="75" spans="1:34" ht="32.25" customHeight="1" x14ac:dyDescent="0.2">
      <c r="A75" s="141"/>
      <c r="B75" s="515" t="s">
        <v>357</v>
      </c>
      <c r="C75" s="515"/>
      <c r="D75" s="515"/>
      <c r="E75" s="515"/>
      <c r="F75" s="515"/>
      <c r="G75" s="515"/>
      <c r="H75" s="515"/>
      <c r="I75" s="515"/>
      <c r="J75" s="515"/>
      <c r="K75" s="515"/>
      <c r="L75" s="515"/>
      <c r="M75" s="515"/>
      <c r="N75" s="143">
        <v>802</v>
      </c>
      <c r="O75" s="144">
        <v>8</v>
      </c>
      <c r="P75" s="144">
        <v>1</v>
      </c>
      <c r="Q75" s="145" t="s">
        <v>358</v>
      </c>
      <c r="R75" s="146">
        <v>0</v>
      </c>
      <c r="S75" s="500"/>
      <c r="T75" s="500"/>
      <c r="U75" s="164">
        <v>381.7</v>
      </c>
      <c r="V75" s="164">
        <v>0</v>
      </c>
      <c r="W75" s="164">
        <v>381.7</v>
      </c>
      <c r="X75" s="514"/>
      <c r="Y75" s="514"/>
      <c r="Z75" s="514"/>
      <c r="AA75" s="514"/>
      <c r="AB75" s="514"/>
      <c r="AC75" s="514"/>
      <c r="AD75" s="514"/>
      <c r="AE75" s="164"/>
      <c r="AF75" s="160"/>
      <c r="AG75" s="160">
        <f>+AG76</f>
        <v>0</v>
      </c>
      <c r="AH75" s="170">
        <f t="shared" si="1"/>
        <v>0</v>
      </c>
    </row>
    <row r="76" spans="1:34" ht="21.75" customHeight="1" x14ac:dyDescent="0.2">
      <c r="A76" s="141"/>
      <c r="B76" s="515" t="s">
        <v>466</v>
      </c>
      <c r="C76" s="515"/>
      <c r="D76" s="515"/>
      <c r="E76" s="515"/>
      <c r="F76" s="515"/>
      <c r="G76" s="515"/>
      <c r="H76" s="515"/>
      <c r="I76" s="515"/>
      <c r="J76" s="515"/>
      <c r="K76" s="515"/>
      <c r="L76" s="515"/>
      <c r="M76" s="515"/>
      <c r="N76" s="143">
        <v>802</v>
      </c>
      <c r="O76" s="144">
        <v>8</v>
      </c>
      <c r="P76" s="144">
        <v>1</v>
      </c>
      <c r="Q76" s="145" t="s">
        <v>467</v>
      </c>
      <c r="R76" s="146">
        <v>0</v>
      </c>
      <c r="S76" s="500"/>
      <c r="T76" s="500"/>
      <c r="U76" s="164">
        <v>381.7</v>
      </c>
      <c r="V76" s="164">
        <v>0</v>
      </c>
      <c r="W76" s="164">
        <v>381.7</v>
      </c>
      <c r="X76" s="514"/>
      <c r="Y76" s="514"/>
      <c r="Z76" s="514"/>
      <c r="AA76" s="514"/>
      <c r="AB76" s="514"/>
      <c r="AC76" s="514"/>
      <c r="AD76" s="514"/>
      <c r="AE76" s="164"/>
      <c r="AF76" s="160"/>
      <c r="AG76" s="160">
        <f>+AG77+AG80</f>
        <v>0</v>
      </c>
      <c r="AH76" s="170">
        <f t="shared" si="1"/>
        <v>0</v>
      </c>
    </row>
    <row r="77" spans="1:34" ht="53.25" customHeight="1" x14ac:dyDescent="0.2">
      <c r="A77" s="141"/>
      <c r="B77" s="515" t="s">
        <v>17</v>
      </c>
      <c r="C77" s="515"/>
      <c r="D77" s="515"/>
      <c r="E77" s="515"/>
      <c r="F77" s="515"/>
      <c r="G77" s="515"/>
      <c r="H77" s="515"/>
      <c r="I77" s="515"/>
      <c r="J77" s="515"/>
      <c r="K77" s="515"/>
      <c r="L77" s="515"/>
      <c r="M77" s="515"/>
      <c r="N77" s="143">
        <v>802</v>
      </c>
      <c r="O77" s="144">
        <v>8</v>
      </c>
      <c r="P77" s="144">
        <v>1</v>
      </c>
      <c r="Q77" s="145" t="s">
        <v>467</v>
      </c>
      <c r="R77" s="146" t="s">
        <v>18</v>
      </c>
      <c r="S77" s="500"/>
      <c r="T77" s="500"/>
      <c r="U77" s="164">
        <v>23.687999999999999</v>
      </c>
      <c r="V77" s="164">
        <v>0</v>
      </c>
      <c r="W77" s="164">
        <v>23.687999999999999</v>
      </c>
      <c r="X77" s="514"/>
      <c r="Y77" s="514"/>
      <c r="Z77" s="514"/>
      <c r="AA77" s="514"/>
      <c r="AB77" s="514"/>
      <c r="AC77" s="514"/>
      <c r="AD77" s="514"/>
      <c r="AE77" s="164"/>
      <c r="AF77" s="160"/>
      <c r="AG77" s="160">
        <f>+AG78</f>
        <v>0</v>
      </c>
      <c r="AH77" s="170">
        <f t="shared" si="1"/>
        <v>0</v>
      </c>
    </row>
    <row r="78" spans="1:34" ht="12" customHeight="1" x14ac:dyDescent="0.2">
      <c r="A78" s="141"/>
      <c r="B78" s="515" t="s">
        <v>19</v>
      </c>
      <c r="C78" s="515"/>
      <c r="D78" s="515"/>
      <c r="E78" s="515"/>
      <c r="F78" s="515"/>
      <c r="G78" s="515"/>
      <c r="H78" s="515"/>
      <c r="I78" s="515"/>
      <c r="J78" s="515"/>
      <c r="K78" s="515"/>
      <c r="L78" s="515"/>
      <c r="M78" s="515"/>
      <c r="N78" s="143">
        <v>802</v>
      </c>
      <c r="O78" s="144">
        <v>8</v>
      </c>
      <c r="P78" s="144">
        <v>1</v>
      </c>
      <c r="Q78" s="145" t="s">
        <v>467</v>
      </c>
      <c r="R78" s="146" t="s">
        <v>20</v>
      </c>
      <c r="S78" s="500"/>
      <c r="T78" s="500"/>
      <c r="U78" s="164">
        <v>23.687999999999999</v>
      </c>
      <c r="V78" s="164">
        <v>0</v>
      </c>
      <c r="W78" s="164">
        <v>23.687999999999999</v>
      </c>
      <c r="X78" s="514"/>
      <c r="Y78" s="514"/>
      <c r="Z78" s="514"/>
      <c r="AA78" s="514"/>
      <c r="AB78" s="514"/>
      <c r="AC78" s="514"/>
      <c r="AD78" s="514"/>
      <c r="AE78" s="164"/>
      <c r="AF78" s="160"/>
      <c r="AG78" s="160">
        <f>+AG79</f>
        <v>0</v>
      </c>
      <c r="AH78" s="170">
        <f t="shared" si="1"/>
        <v>0</v>
      </c>
    </row>
    <row r="79" spans="1:34" ht="21.75" customHeight="1" x14ac:dyDescent="0.2">
      <c r="A79" s="141"/>
      <c r="B79" s="515" t="s">
        <v>405</v>
      </c>
      <c r="C79" s="515"/>
      <c r="D79" s="515"/>
      <c r="E79" s="515"/>
      <c r="F79" s="515"/>
      <c r="G79" s="515"/>
      <c r="H79" s="515"/>
      <c r="I79" s="515"/>
      <c r="J79" s="515"/>
      <c r="K79" s="515"/>
      <c r="L79" s="515"/>
      <c r="M79" s="515"/>
      <c r="N79" s="143">
        <v>802</v>
      </c>
      <c r="O79" s="144">
        <v>8</v>
      </c>
      <c r="P79" s="144">
        <v>1</v>
      </c>
      <c r="Q79" s="145" t="s">
        <v>467</v>
      </c>
      <c r="R79" s="146" t="s">
        <v>22</v>
      </c>
      <c r="S79" s="500"/>
      <c r="T79" s="500"/>
      <c r="U79" s="164">
        <v>23.687999999999999</v>
      </c>
      <c r="V79" s="164">
        <v>0</v>
      </c>
      <c r="W79" s="164">
        <v>23.687999999999999</v>
      </c>
      <c r="X79" s="514"/>
      <c r="Y79" s="514"/>
      <c r="Z79" s="514"/>
      <c r="AA79" s="514"/>
      <c r="AB79" s="514"/>
      <c r="AC79" s="514"/>
      <c r="AD79" s="514"/>
      <c r="AE79" s="164"/>
      <c r="AF79" s="160"/>
      <c r="AG79" s="160"/>
      <c r="AH79" s="170">
        <f t="shared" si="1"/>
        <v>0</v>
      </c>
    </row>
    <row r="80" spans="1:34" ht="21.75" customHeight="1" x14ac:dyDescent="0.2">
      <c r="A80" s="141"/>
      <c r="B80" s="515" t="s">
        <v>436</v>
      </c>
      <c r="C80" s="515"/>
      <c r="D80" s="515"/>
      <c r="E80" s="515"/>
      <c r="F80" s="515"/>
      <c r="G80" s="515"/>
      <c r="H80" s="515"/>
      <c r="I80" s="515"/>
      <c r="J80" s="515"/>
      <c r="K80" s="515"/>
      <c r="L80" s="515"/>
      <c r="M80" s="515"/>
      <c r="N80" s="143">
        <v>802</v>
      </c>
      <c r="O80" s="144">
        <v>8</v>
      </c>
      <c r="P80" s="144">
        <v>1</v>
      </c>
      <c r="Q80" s="145" t="s">
        <v>467</v>
      </c>
      <c r="R80" s="146" t="s">
        <v>8</v>
      </c>
      <c r="S80" s="500"/>
      <c r="T80" s="500"/>
      <c r="U80" s="164">
        <v>358.012</v>
      </c>
      <c r="V80" s="164">
        <v>0</v>
      </c>
      <c r="W80" s="164">
        <v>358.012</v>
      </c>
      <c r="X80" s="514"/>
      <c r="Y80" s="514"/>
      <c r="Z80" s="514"/>
      <c r="AA80" s="514"/>
      <c r="AB80" s="514"/>
      <c r="AC80" s="514"/>
      <c r="AD80" s="514"/>
      <c r="AE80" s="164"/>
      <c r="AF80" s="160"/>
      <c r="AG80" s="160">
        <f>+AG81</f>
        <v>0</v>
      </c>
      <c r="AH80" s="170">
        <f t="shared" si="1"/>
        <v>0</v>
      </c>
    </row>
    <row r="81" spans="1:34" ht="12" customHeight="1" x14ac:dyDescent="0.2">
      <c r="A81" s="141"/>
      <c r="B81" s="515" t="s">
        <v>9</v>
      </c>
      <c r="C81" s="515"/>
      <c r="D81" s="515"/>
      <c r="E81" s="515"/>
      <c r="F81" s="515"/>
      <c r="G81" s="515"/>
      <c r="H81" s="515"/>
      <c r="I81" s="515"/>
      <c r="J81" s="515"/>
      <c r="K81" s="515"/>
      <c r="L81" s="515"/>
      <c r="M81" s="515"/>
      <c r="N81" s="143">
        <v>802</v>
      </c>
      <c r="O81" s="144">
        <v>8</v>
      </c>
      <c r="P81" s="144">
        <v>1</v>
      </c>
      <c r="Q81" s="145" t="s">
        <v>467</v>
      </c>
      <c r="R81" s="146" t="s">
        <v>10</v>
      </c>
      <c r="S81" s="500"/>
      <c r="T81" s="500"/>
      <c r="U81" s="164">
        <v>358.012</v>
      </c>
      <c r="V81" s="164">
        <v>0</v>
      </c>
      <c r="W81" s="164">
        <v>358.012</v>
      </c>
      <c r="X81" s="514"/>
      <c r="Y81" s="514"/>
      <c r="Z81" s="514"/>
      <c r="AA81" s="514"/>
      <c r="AB81" s="514"/>
      <c r="AC81" s="514"/>
      <c r="AD81" s="514"/>
      <c r="AE81" s="164"/>
      <c r="AF81" s="160"/>
      <c r="AG81" s="160">
        <f>+AG82</f>
        <v>0</v>
      </c>
      <c r="AH81" s="170">
        <f t="shared" si="1"/>
        <v>0</v>
      </c>
    </row>
    <row r="82" spans="1:34" ht="42.75" customHeight="1" x14ac:dyDescent="0.2">
      <c r="A82" s="141"/>
      <c r="B82" s="515" t="s">
        <v>11</v>
      </c>
      <c r="C82" s="515"/>
      <c r="D82" s="515"/>
      <c r="E82" s="515"/>
      <c r="F82" s="515"/>
      <c r="G82" s="515"/>
      <c r="H82" s="515"/>
      <c r="I82" s="515"/>
      <c r="J82" s="515"/>
      <c r="K82" s="515"/>
      <c r="L82" s="515"/>
      <c r="M82" s="515"/>
      <c r="N82" s="143">
        <v>802</v>
      </c>
      <c r="O82" s="144">
        <v>8</v>
      </c>
      <c r="P82" s="144">
        <v>1</v>
      </c>
      <c r="Q82" s="145" t="s">
        <v>467</v>
      </c>
      <c r="R82" s="146" t="s">
        <v>12</v>
      </c>
      <c r="S82" s="500"/>
      <c r="T82" s="500"/>
      <c r="U82" s="164">
        <v>358.012</v>
      </c>
      <c r="V82" s="164">
        <v>0</v>
      </c>
      <c r="W82" s="164">
        <v>358.012</v>
      </c>
      <c r="X82" s="514"/>
      <c r="Y82" s="514"/>
      <c r="Z82" s="514"/>
      <c r="AA82" s="514"/>
      <c r="AB82" s="514"/>
      <c r="AC82" s="514"/>
      <c r="AD82" s="514"/>
      <c r="AE82" s="164"/>
      <c r="AF82" s="160"/>
      <c r="AG82" s="160"/>
      <c r="AH82" s="170">
        <f t="shared" si="1"/>
        <v>0</v>
      </c>
    </row>
    <row r="83" spans="1:34" ht="12" customHeight="1" x14ac:dyDescent="0.2">
      <c r="A83" s="141"/>
      <c r="B83" s="515" t="s">
        <v>35</v>
      </c>
      <c r="C83" s="515"/>
      <c r="D83" s="515"/>
      <c r="E83" s="515"/>
      <c r="F83" s="515"/>
      <c r="G83" s="515"/>
      <c r="H83" s="515"/>
      <c r="I83" s="515"/>
      <c r="J83" s="515"/>
      <c r="K83" s="515"/>
      <c r="L83" s="515"/>
      <c r="M83" s="515"/>
      <c r="N83" s="143">
        <v>802</v>
      </c>
      <c r="O83" s="144">
        <v>8</v>
      </c>
      <c r="P83" s="144">
        <v>4</v>
      </c>
      <c r="Q83" s="145">
        <v>0</v>
      </c>
      <c r="R83" s="146">
        <v>0</v>
      </c>
      <c r="S83" s="500"/>
      <c r="T83" s="500"/>
      <c r="U83" s="164">
        <v>2725.748</v>
      </c>
      <c r="V83" s="164">
        <v>0</v>
      </c>
      <c r="W83" s="164">
        <v>2725.748</v>
      </c>
      <c r="X83" s="514"/>
      <c r="Y83" s="514"/>
      <c r="Z83" s="514"/>
      <c r="AA83" s="514"/>
      <c r="AB83" s="514"/>
      <c r="AC83" s="514"/>
      <c r="AD83" s="514"/>
      <c r="AE83" s="164"/>
      <c r="AF83" s="160"/>
      <c r="AG83" s="160">
        <f>+AG84+AG94</f>
        <v>690.84724000000006</v>
      </c>
      <c r="AH83" s="170">
        <f t="shared" ref="AH83:AH146" si="2">AG83/U83*100</f>
        <v>25.345235142793832</v>
      </c>
    </row>
    <row r="84" spans="1:34" ht="21.75" customHeight="1" x14ac:dyDescent="0.2">
      <c r="A84" s="141"/>
      <c r="B84" s="515" t="s">
        <v>457</v>
      </c>
      <c r="C84" s="515"/>
      <c r="D84" s="515"/>
      <c r="E84" s="515"/>
      <c r="F84" s="515"/>
      <c r="G84" s="515"/>
      <c r="H84" s="515"/>
      <c r="I84" s="515"/>
      <c r="J84" s="515"/>
      <c r="K84" s="515"/>
      <c r="L84" s="515"/>
      <c r="M84" s="515"/>
      <c r="N84" s="143">
        <v>802</v>
      </c>
      <c r="O84" s="144">
        <v>8</v>
      </c>
      <c r="P84" s="144">
        <v>4</v>
      </c>
      <c r="Q84" s="145" t="s">
        <v>458</v>
      </c>
      <c r="R84" s="146">
        <v>0</v>
      </c>
      <c r="S84" s="500"/>
      <c r="T84" s="500"/>
      <c r="U84" s="164">
        <v>822.73099999999999</v>
      </c>
      <c r="V84" s="164">
        <v>0</v>
      </c>
      <c r="W84" s="164">
        <v>822.73099999999999</v>
      </c>
      <c r="X84" s="514"/>
      <c r="Y84" s="514"/>
      <c r="Z84" s="514"/>
      <c r="AA84" s="514"/>
      <c r="AB84" s="514"/>
      <c r="AC84" s="514"/>
      <c r="AD84" s="514"/>
      <c r="AE84" s="164"/>
      <c r="AF84" s="160"/>
      <c r="AG84" s="160">
        <f>+AG85</f>
        <v>184.39445000000001</v>
      </c>
      <c r="AH84" s="170">
        <f t="shared" si="2"/>
        <v>22.412483545654656</v>
      </c>
    </row>
    <row r="85" spans="1:34" ht="21.75" customHeight="1" x14ac:dyDescent="0.2">
      <c r="A85" s="141"/>
      <c r="B85" s="515" t="s">
        <v>36</v>
      </c>
      <c r="C85" s="515"/>
      <c r="D85" s="515"/>
      <c r="E85" s="515"/>
      <c r="F85" s="515"/>
      <c r="G85" s="515"/>
      <c r="H85" s="515"/>
      <c r="I85" s="515"/>
      <c r="J85" s="515"/>
      <c r="K85" s="515"/>
      <c r="L85" s="515"/>
      <c r="M85" s="515"/>
      <c r="N85" s="143">
        <v>802</v>
      </c>
      <c r="O85" s="144">
        <v>8</v>
      </c>
      <c r="P85" s="144">
        <v>4</v>
      </c>
      <c r="Q85" s="145" t="s">
        <v>468</v>
      </c>
      <c r="R85" s="146">
        <v>0</v>
      </c>
      <c r="S85" s="500"/>
      <c r="T85" s="500"/>
      <c r="U85" s="164">
        <v>822.73099999999999</v>
      </c>
      <c r="V85" s="164">
        <v>0</v>
      </c>
      <c r="W85" s="164">
        <v>822.73099999999999</v>
      </c>
      <c r="X85" s="514"/>
      <c r="Y85" s="514"/>
      <c r="Z85" s="514"/>
      <c r="AA85" s="514"/>
      <c r="AB85" s="514"/>
      <c r="AC85" s="514"/>
      <c r="AD85" s="514"/>
      <c r="AE85" s="164"/>
      <c r="AF85" s="160"/>
      <c r="AG85" s="160">
        <f>+AG86</f>
        <v>184.39445000000001</v>
      </c>
      <c r="AH85" s="170">
        <f t="shared" si="2"/>
        <v>22.412483545654656</v>
      </c>
    </row>
    <row r="86" spans="1:34" ht="32.25" customHeight="1" x14ac:dyDescent="0.2">
      <c r="A86" s="141"/>
      <c r="B86" s="515" t="s">
        <v>469</v>
      </c>
      <c r="C86" s="515"/>
      <c r="D86" s="515"/>
      <c r="E86" s="515"/>
      <c r="F86" s="515"/>
      <c r="G86" s="515"/>
      <c r="H86" s="515"/>
      <c r="I86" s="515"/>
      <c r="J86" s="515"/>
      <c r="K86" s="515"/>
      <c r="L86" s="515"/>
      <c r="M86" s="515"/>
      <c r="N86" s="143">
        <v>802</v>
      </c>
      <c r="O86" s="144">
        <v>8</v>
      </c>
      <c r="P86" s="144">
        <v>4</v>
      </c>
      <c r="Q86" s="145" t="s">
        <v>470</v>
      </c>
      <c r="R86" s="146">
        <v>0</v>
      </c>
      <c r="S86" s="500"/>
      <c r="T86" s="500"/>
      <c r="U86" s="164">
        <v>822.73099999999999</v>
      </c>
      <c r="V86" s="164">
        <v>0</v>
      </c>
      <c r="W86" s="164">
        <v>822.73099999999999</v>
      </c>
      <c r="X86" s="514"/>
      <c r="Y86" s="514"/>
      <c r="Z86" s="514"/>
      <c r="AA86" s="514"/>
      <c r="AB86" s="514"/>
      <c r="AC86" s="514"/>
      <c r="AD86" s="514"/>
      <c r="AE86" s="164"/>
      <c r="AF86" s="160"/>
      <c r="AG86" s="160">
        <f>+AG87+AG91</f>
        <v>184.39445000000001</v>
      </c>
      <c r="AH86" s="170">
        <f t="shared" si="2"/>
        <v>22.412483545654656</v>
      </c>
    </row>
    <row r="87" spans="1:34" ht="53.25" customHeight="1" x14ac:dyDescent="0.2">
      <c r="A87" s="141"/>
      <c r="B87" s="515" t="s">
        <v>17</v>
      </c>
      <c r="C87" s="515"/>
      <c r="D87" s="515"/>
      <c r="E87" s="515"/>
      <c r="F87" s="515"/>
      <c r="G87" s="515"/>
      <c r="H87" s="515"/>
      <c r="I87" s="515"/>
      <c r="J87" s="515"/>
      <c r="K87" s="515"/>
      <c r="L87" s="515"/>
      <c r="M87" s="515"/>
      <c r="N87" s="143">
        <v>802</v>
      </c>
      <c r="O87" s="144">
        <v>8</v>
      </c>
      <c r="P87" s="144">
        <v>4</v>
      </c>
      <c r="Q87" s="145" t="s">
        <v>470</v>
      </c>
      <c r="R87" s="146" t="s">
        <v>18</v>
      </c>
      <c r="S87" s="500"/>
      <c r="T87" s="500"/>
      <c r="U87" s="164">
        <v>820.57100000000003</v>
      </c>
      <c r="V87" s="164">
        <v>0</v>
      </c>
      <c r="W87" s="164">
        <v>820.57100000000003</v>
      </c>
      <c r="X87" s="514"/>
      <c r="Y87" s="514"/>
      <c r="Z87" s="514"/>
      <c r="AA87" s="514"/>
      <c r="AB87" s="514"/>
      <c r="AC87" s="514"/>
      <c r="AD87" s="514"/>
      <c r="AE87" s="164"/>
      <c r="AF87" s="160"/>
      <c r="AG87" s="160">
        <f>+AG88</f>
        <v>184.39445000000001</v>
      </c>
      <c r="AH87" s="170">
        <f t="shared" si="2"/>
        <v>22.471480225355268</v>
      </c>
    </row>
    <row r="88" spans="1:34" ht="21.75" customHeight="1" x14ac:dyDescent="0.2">
      <c r="A88" s="141"/>
      <c r="B88" s="515" t="s">
        <v>37</v>
      </c>
      <c r="C88" s="515"/>
      <c r="D88" s="515"/>
      <c r="E88" s="515"/>
      <c r="F88" s="515"/>
      <c r="G88" s="515"/>
      <c r="H88" s="515"/>
      <c r="I88" s="515"/>
      <c r="J88" s="515"/>
      <c r="K88" s="515"/>
      <c r="L88" s="515"/>
      <c r="M88" s="515"/>
      <c r="N88" s="143">
        <v>802</v>
      </c>
      <c r="O88" s="144">
        <v>8</v>
      </c>
      <c r="P88" s="144">
        <v>4</v>
      </c>
      <c r="Q88" s="145" t="s">
        <v>470</v>
      </c>
      <c r="R88" s="146" t="s">
        <v>38</v>
      </c>
      <c r="S88" s="500"/>
      <c r="T88" s="500"/>
      <c r="U88" s="164">
        <v>820.57100000000003</v>
      </c>
      <c r="V88" s="164">
        <v>0</v>
      </c>
      <c r="W88" s="164">
        <v>820.57100000000003</v>
      </c>
      <c r="X88" s="514"/>
      <c r="Y88" s="514"/>
      <c r="Z88" s="514"/>
      <c r="AA88" s="514"/>
      <c r="AB88" s="514"/>
      <c r="AC88" s="514"/>
      <c r="AD88" s="514"/>
      <c r="AE88" s="164"/>
      <c r="AF88" s="160"/>
      <c r="AG88" s="160">
        <f>+AG89+AG90</f>
        <v>184.39445000000001</v>
      </c>
      <c r="AH88" s="170">
        <f t="shared" si="2"/>
        <v>22.471480225355268</v>
      </c>
    </row>
    <row r="89" spans="1:34" ht="21.75" customHeight="1" x14ac:dyDescent="0.2">
      <c r="A89" s="141"/>
      <c r="B89" s="515" t="s">
        <v>333</v>
      </c>
      <c r="C89" s="515"/>
      <c r="D89" s="515"/>
      <c r="E89" s="515"/>
      <c r="F89" s="515"/>
      <c r="G89" s="515"/>
      <c r="H89" s="515"/>
      <c r="I89" s="515"/>
      <c r="J89" s="515"/>
      <c r="K89" s="515"/>
      <c r="L89" s="515"/>
      <c r="M89" s="515"/>
      <c r="N89" s="143">
        <v>802</v>
      </c>
      <c r="O89" s="144">
        <v>8</v>
      </c>
      <c r="P89" s="144">
        <v>4</v>
      </c>
      <c r="Q89" s="145" t="s">
        <v>470</v>
      </c>
      <c r="R89" s="146" t="s">
        <v>39</v>
      </c>
      <c r="S89" s="500"/>
      <c r="T89" s="500"/>
      <c r="U89" s="164">
        <v>630.23900000000003</v>
      </c>
      <c r="V89" s="164">
        <v>0</v>
      </c>
      <c r="W89" s="164">
        <v>630.23900000000003</v>
      </c>
      <c r="X89" s="514"/>
      <c r="Y89" s="514"/>
      <c r="Z89" s="514"/>
      <c r="AA89" s="514"/>
      <c r="AB89" s="514"/>
      <c r="AC89" s="514"/>
      <c r="AD89" s="514"/>
      <c r="AE89" s="164"/>
      <c r="AF89" s="160"/>
      <c r="AG89" s="160">
        <v>141.624</v>
      </c>
      <c r="AH89" s="170">
        <f t="shared" si="2"/>
        <v>22.47147510706256</v>
      </c>
    </row>
    <row r="90" spans="1:34" ht="32.25" customHeight="1" x14ac:dyDescent="0.2">
      <c r="A90" s="141"/>
      <c r="B90" s="515" t="s">
        <v>334</v>
      </c>
      <c r="C90" s="515"/>
      <c r="D90" s="515"/>
      <c r="E90" s="515"/>
      <c r="F90" s="515"/>
      <c r="G90" s="515"/>
      <c r="H90" s="515"/>
      <c r="I90" s="515"/>
      <c r="J90" s="515"/>
      <c r="K90" s="515"/>
      <c r="L90" s="515"/>
      <c r="M90" s="515"/>
      <c r="N90" s="143">
        <v>802</v>
      </c>
      <c r="O90" s="144">
        <v>8</v>
      </c>
      <c r="P90" s="144">
        <v>4</v>
      </c>
      <c r="Q90" s="145" t="s">
        <v>470</v>
      </c>
      <c r="R90" s="146" t="s">
        <v>41</v>
      </c>
      <c r="S90" s="500"/>
      <c r="T90" s="500"/>
      <c r="U90" s="164">
        <v>190.33199999999999</v>
      </c>
      <c r="V90" s="164">
        <v>0</v>
      </c>
      <c r="W90" s="164">
        <v>190.33199999999999</v>
      </c>
      <c r="X90" s="514"/>
      <c r="Y90" s="514"/>
      <c r="Z90" s="514"/>
      <c r="AA90" s="514"/>
      <c r="AB90" s="514"/>
      <c r="AC90" s="514"/>
      <c r="AD90" s="514"/>
      <c r="AE90" s="164"/>
      <c r="AF90" s="160"/>
      <c r="AG90" s="160">
        <v>42.770449999999997</v>
      </c>
      <c r="AH90" s="170">
        <f t="shared" si="2"/>
        <v>22.471497173360234</v>
      </c>
    </row>
    <row r="91" spans="1:34" ht="21.75" customHeight="1" x14ac:dyDescent="0.2">
      <c r="A91" s="141"/>
      <c r="B91" s="515" t="s">
        <v>345</v>
      </c>
      <c r="C91" s="515"/>
      <c r="D91" s="515"/>
      <c r="E91" s="515"/>
      <c r="F91" s="515"/>
      <c r="G91" s="515"/>
      <c r="H91" s="515"/>
      <c r="I91" s="515"/>
      <c r="J91" s="515"/>
      <c r="K91" s="515"/>
      <c r="L91" s="515"/>
      <c r="M91" s="515"/>
      <c r="N91" s="143">
        <v>802</v>
      </c>
      <c r="O91" s="144">
        <v>8</v>
      </c>
      <c r="P91" s="144">
        <v>4</v>
      </c>
      <c r="Q91" s="145" t="s">
        <v>470</v>
      </c>
      <c r="R91" s="146" t="s">
        <v>24</v>
      </c>
      <c r="S91" s="500"/>
      <c r="T91" s="500"/>
      <c r="U91" s="164">
        <v>2.16</v>
      </c>
      <c r="V91" s="164">
        <v>0</v>
      </c>
      <c r="W91" s="164">
        <v>2.16</v>
      </c>
      <c r="X91" s="514"/>
      <c r="Y91" s="514"/>
      <c r="Z91" s="514"/>
      <c r="AA91" s="514"/>
      <c r="AB91" s="514"/>
      <c r="AC91" s="514"/>
      <c r="AD91" s="514"/>
      <c r="AE91" s="164"/>
      <c r="AF91" s="160"/>
      <c r="AG91" s="160">
        <f>+AG92</f>
        <v>0</v>
      </c>
      <c r="AH91" s="170">
        <f t="shared" si="2"/>
        <v>0</v>
      </c>
    </row>
    <row r="92" spans="1:34" ht="21.75" customHeight="1" x14ac:dyDescent="0.2">
      <c r="A92" s="141"/>
      <c r="B92" s="515" t="s">
        <v>346</v>
      </c>
      <c r="C92" s="515"/>
      <c r="D92" s="515"/>
      <c r="E92" s="515"/>
      <c r="F92" s="515"/>
      <c r="G92" s="515"/>
      <c r="H92" s="515"/>
      <c r="I92" s="515"/>
      <c r="J92" s="515"/>
      <c r="K92" s="515"/>
      <c r="L92" s="515"/>
      <c r="M92" s="515"/>
      <c r="N92" s="143">
        <v>802</v>
      </c>
      <c r="O92" s="144">
        <v>8</v>
      </c>
      <c r="P92" s="144">
        <v>4</v>
      </c>
      <c r="Q92" s="145" t="s">
        <v>470</v>
      </c>
      <c r="R92" s="146" t="s">
        <v>26</v>
      </c>
      <c r="S92" s="500"/>
      <c r="T92" s="500"/>
      <c r="U92" s="164">
        <v>2.16</v>
      </c>
      <c r="V92" s="164">
        <v>0</v>
      </c>
      <c r="W92" s="164">
        <v>2.16</v>
      </c>
      <c r="X92" s="514"/>
      <c r="Y92" s="514"/>
      <c r="Z92" s="514"/>
      <c r="AA92" s="514"/>
      <c r="AB92" s="514"/>
      <c r="AC92" s="514"/>
      <c r="AD92" s="514"/>
      <c r="AE92" s="164"/>
      <c r="AF92" s="160"/>
      <c r="AG92" s="160">
        <f>+AG93</f>
        <v>0</v>
      </c>
      <c r="AH92" s="170">
        <f t="shared" si="2"/>
        <v>0</v>
      </c>
    </row>
    <row r="93" spans="1:34" ht="12" customHeight="1" x14ac:dyDescent="0.2">
      <c r="A93" s="141"/>
      <c r="B93" s="515" t="s">
        <v>348</v>
      </c>
      <c r="C93" s="515"/>
      <c r="D93" s="515"/>
      <c r="E93" s="515"/>
      <c r="F93" s="515"/>
      <c r="G93" s="515"/>
      <c r="H93" s="515"/>
      <c r="I93" s="515"/>
      <c r="J93" s="515"/>
      <c r="K93" s="515"/>
      <c r="L93" s="515"/>
      <c r="M93" s="515"/>
      <c r="N93" s="143">
        <v>802</v>
      </c>
      <c r="O93" s="144">
        <v>8</v>
      </c>
      <c r="P93" s="144">
        <v>4</v>
      </c>
      <c r="Q93" s="145" t="s">
        <v>470</v>
      </c>
      <c r="R93" s="146" t="s">
        <v>28</v>
      </c>
      <c r="S93" s="500"/>
      <c r="T93" s="500"/>
      <c r="U93" s="164">
        <v>2.16</v>
      </c>
      <c r="V93" s="164">
        <v>0</v>
      </c>
      <c r="W93" s="164">
        <v>2.16</v>
      </c>
      <c r="X93" s="514"/>
      <c r="Y93" s="514"/>
      <c r="Z93" s="514"/>
      <c r="AA93" s="514"/>
      <c r="AB93" s="514"/>
      <c r="AC93" s="514"/>
      <c r="AD93" s="514"/>
      <c r="AE93" s="164"/>
      <c r="AF93" s="160"/>
      <c r="AG93" s="160"/>
      <c r="AH93" s="170">
        <f t="shared" si="2"/>
        <v>0</v>
      </c>
    </row>
    <row r="94" spans="1:34" ht="21.75" customHeight="1" x14ac:dyDescent="0.2">
      <c r="A94" s="141"/>
      <c r="B94" s="515" t="s">
        <v>457</v>
      </c>
      <c r="C94" s="515"/>
      <c r="D94" s="515"/>
      <c r="E94" s="515"/>
      <c r="F94" s="515"/>
      <c r="G94" s="515"/>
      <c r="H94" s="515"/>
      <c r="I94" s="515"/>
      <c r="J94" s="515"/>
      <c r="K94" s="515"/>
      <c r="L94" s="515"/>
      <c r="M94" s="515"/>
      <c r="N94" s="143">
        <v>802</v>
      </c>
      <c r="O94" s="144">
        <v>8</v>
      </c>
      <c r="P94" s="144">
        <v>4</v>
      </c>
      <c r="Q94" s="145" t="s">
        <v>458</v>
      </c>
      <c r="R94" s="146">
        <v>0</v>
      </c>
      <c r="S94" s="500"/>
      <c r="T94" s="500"/>
      <c r="U94" s="164">
        <v>1903.0170000000001</v>
      </c>
      <c r="V94" s="164">
        <v>0</v>
      </c>
      <c r="W94" s="164">
        <v>1903.0170000000001</v>
      </c>
      <c r="X94" s="514"/>
      <c r="Y94" s="514"/>
      <c r="Z94" s="514"/>
      <c r="AA94" s="514"/>
      <c r="AB94" s="514"/>
      <c r="AC94" s="514"/>
      <c r="AD94" s="514"/>
      <c r="AE94" s="164"/>
      <c r="AF94" s="160"/>
      <c r="AG94" s="160">
        <f>+AG95</f>
        <v>506.45278999999999</v>
      </c>
      <c r="AH94" s="170">
        <f t="shared" si="2"/>
        <v>26.613151117409878</v>
      </c>
    </row>
    <row r="95" spans="1:34" ht="21.75" customHeight="1" x14ac:dyDescent="0.2">
      <c r="A95" s="141"/>
      <c r="B95" s="515" t="s">
        <v>36</v>
      </c>
      <c r="C95" s="515"/>
      <c r="D95" s="515"/>
      <c r="E95" s="515"/>
      <c r="F95" s="515"/>
      <c r="G95" s="515"/>
      <c r="H95" s="515"/>
      <c r="I95" s="515"/>
      <c r="J95" s="515"/>
      <c r="K95" s="515"/>
      <c r="L95" s="515"/>
      <c r="M95" s="515"/>
      <c r="N95" s="143">
        <v>802</v>
      </c>
      <c r="O95" s="144">
        <v>8</v>
      </c>
      <c r="P95" s="144">
        <v>4</v>
      </c>
      <c r="Q95" s="145" t="s">
        <v>468</v>
      </c>
      <c r="R95" s="146">
        <v>0</v>
      </c>
      <c r="S95" s="500"/>
      <c r="T95" s="500"/>
      <c r="U95" s="164">
        <v>1903.0170000000001</v>
      </c>
      <c r="V95" s="164">
        <v>0</v>
      </c>
      <c r="W95" s="164">
        <v>1903.0170000000001</v>
      </c>
      <c r="X95" s="514"/>
      <c r="Y95" s="514"/>
      <c r="Z95" s="514"/>
      <c r="AA95" s="514"/>
      <c r="AB95" s="514"/>
      <c r="AC95" s="514"/>
      <c r="AD95" s="514"/>
      <c r="AE95" s="164"/>
      <c r="AF95" s="160"/>
      <c r="AG95" s="160">
        <f>+AG96</f>
        <v>506.45278999999999</v>
      </c>
      <c r="AH95" s="170">
        <f t="shared" si="2"/>
        <v>26.613151117409878</v>
      </c>
    </row>
    <row r="96" spans="1:34" ht="21.75" customHeight="1" x14ac:dyDescent="0.2">
      <c r="A96" s="141"/>
      <c r="B96" s="515" t="s">
        <v>471</v>
      </c>
      <c r="C96" s="515"/>
      <c r="D96" s="515"/>
      <c r="E96" s="515"/>
      <c r="F96" s="515"/>
      <c r="G96" s="515"/>
      <c r="H96" s="515"/>
      <c r="I96" s="515"/>
      <c r="J96" s="515"/>
      <c r="K96" s="515"/>
      <c r="L96" s="515"/>
      <c r="M96" s="515"/>
      <c r="N96" s="143">
        <v>802</v>
      </c>
      <c r="O96" s="144">
        <v>8</v>
      </c>
      <c r="P96" s="144">
        <v>4</v>
      </c>
      <c r="Q96" s="145" t="s">
        <v>472</v>
      </c>
      <c r="R96" s="146">
        <v>0</v>
      </c>
      <c r="S96" s="500"/>
      <c r="T96" s="500"/>
      <c r="U96" s="164">
        <v>1903.0170000000001</v>
      </c>
      <c r="V96" s="164">
        <v>0</v>
      </c>
      <c r="W96" s="164">
        <v>1903.0170000000001</v>
      </c>
      <c r="X96" s="514"/>
      <c r="Y96" s="514"/>
      <c r="Z96" s="514"/>
      <c r="AA96" s="514"/>
      <c r="AB96" s="514"/>
      <c r="AC96" s="514"/>
      <c r="AD96" s="514"/>
      <c r="AE96" s="164"/>
      <c r="AF96" s="160"/>
      <c r="AG96" s="160">
        <f>+AG97+AG101</f>
        <v>506.45278999999999</v>
      </c>
      <c r="AH96" s="170">
        <f t="shared" si="2"/>
        <v>26.613151117409878</v>
      </c>
    </row>
    <row r="97" spans="1:34" ht="53.25" customHeight="1" x14ac:dyDescent="0.2">
      <c r="A97" s="141"/>
      <c r="B97" s="515" t="s">
        <v>17</v>
      </c>
      <c r="C97" s="515"/>
      <c r="D97" s="515"/>
      <c r="E97" s="515"/>
      <c r="F97" s="515"/>
      <c r="G97" s="515"/>
      <c r="H97" s="515"/>
      <c r="I97" s="515"/>
      <c r="J97" s="515"/>
      <c r="K97" s="515"/>
      <c r="L97" s="515"/>
      <c r="M97" s="515"/>
      <c r="N97" s="143">
        <v>802</v>
      </c>
      <c r="O97" s="144">
        <v>8</v>
      </c>
      <c r="P97" s="144">
        <v>4</v>
      </c>
      <c r="Q97" s="145" t="s">
        <v>472</v>
      </c>
      <c r="R97" s="146" t="s">
        <v>18</v>
      </c>
      <c r="S97" s="500"/>
      <c r="T97" s="500"/>
      <c r="U97" s="164">
        <v>1663.0509999999999</v>
      </c>
      <c r="V97" s="164">
        <v>0</v>
      </c>
      <c r="W97" s="164">
        <v>1663.0509999999999</v>
      </c>
      <c r="X97" s="514"/>
      <c r="Y97" s="514"/>
      <c r="Z97" s="514"/>
      <c r="AA97" s="514"/>
      <c r="AB97" s="514"/>
      <c r="AC97" s="514"/>
      <c r="AD97" s="514"/>
      <c r="AE97" s="164"/>
      <c r="AF97" s="160"/>
      <c r="AG97" s="160">
        <f>+AG98</f>
        <v>458.03278999999998</v>
      </c>
      <c r="AH97" s="170">
        <f t="shared" si="2"/>
        <v>27.541716399557199</v>
      </c>
    </row>
    <row r="98" spans="1:34" ht="12" customHeight="1" x14ac:dyDescent="0.2">
      <c r="A98" s="141"/>
      <c r="B98" s="515" t="s">
        <v>19</v>
      </c>
      <c r="C98" s="515"/>
      <c r="D98" s="515"/>
      <c r="E98" s="515"/>
      <c r="F98" s="515"/>
      <c r="G98" s="515"/>
      <c r="H98" s="515"/>
      <c r="I98" s="515"/>
      <c r="J98" s="515"/>
      <c r="K98" s="515"/>
      <c r="L98" s="515"/>
      <c r="M98" s="515"/>
      <c r="N98" s="143">
        <v>802</v>
      </c>
      <c r="O98" s="144">
        <v>8</v>
      </c>
      <c r="P98" s="144">
        <v>4</v>
      </c>
      <c r="Q98" s="145" t="s">
        <v>472</v>
      </c>
      <c r="R98" s="146" t="s">
        <v>20</v>
      </c>
      <c r="S98" s="500"/>
      <c r="T98" s="500"/>
      <c r="U98" s="164">
        <v>1663.0509999999999</v>
      </c>
      <c r="V98" s="164">
        <v>0</v>
      </c>
      <c r="W98" s="164">
        <v>1663.0509999999999</v>
      </c>
      <c r="X98" s="514"/>
      <c r="Y98" s="514"/>
      <c r="Z98" s="514"/>
      <c r="AA98" s="514"/>
      <c r="AB98" s="514"/>
      <c r="AC98" s="514"/>
      <c r="AD98" s="514"/>
      <c r="AE98" s="164"/>
      <c r="AF98" s="160"/>
      <c r="AG98" s="160">
        <f>+AG99+AG100</f>
        <v>458.03278999999998</v>
      </c>
      <c r="AH98" s="170">
        <f t="shared" si="2"/>
        <v>27.541716399557199</v>
      </c>
    </row>
    <row r="99" spans="1:34" ht="12" customHeight="1" x14ac:dyDescent="0.2">
      <c r="A99" s="141"/>
      <c r="B99" s="515" t="s">
        <v>404</v>
      </c>
      <c r="C99" s="515"/>
      <c r="D99" s="515"/>
      <c r="E99" s="515"/>
      <c r="F99" s="515"/>
      <c r="G99" s="515"/>
      <c r="H99" s="515"/>
      <c r="I99" s="515"/>
      <c r="J99" s="515"/>
      <c r="K99" s="515"/>
      <c r="L99" s="515"/>
      <c r="M99" s="515"/>
      <c r="N99" s="143">
        <v>802</v>
      </c>
      <c r="O99" s="144">
        <v>8</v>
      </c>
      <c r="P99" s="144">
        <v>4</v>
      </c>
      <c r="Q99" s="145" t="s">
        <v>472</v>
      </c>
      <c r="R99" s="146" t="s">
        <v>21</v>
      </c>
      <c r="S99" s="500"/>
      <c r="T99" s="500"/>
      <c r="U99" s="164">
        <v>1277.3050000000001</v>
      </c>
      <c r="V99" s="164">
        <v>0</v>
      </c>
      <c r="W99" s="164">
        <v>1277.3050000000001</v>
      </c>
      <c r="X99" s="514"/>
      <c r="Y99" s="514"/>
      <c r="Z99" s="514"/>
      <c r="AA99" s="514"/>
      <c r="AB99" s="514"/>
      <c r="AC99" s="514"/>
      <c r="AD99" s="514"/>
      <c r="AE99" s="164"/>
      <c r="AF99" s="160"/>
      <c r="AG99" s="160">
        <v>352.95400000000001</v>
      </c>
      <c r="AH99" s="170">
        <f t="shared" si="2"/>
        <v>27.632711059613797</v>
      </c>
    </row>
    <row r="100" spans="1:34" ht="32.25" customHeight="1" x14ac:dyDescent="0.2">
      <c r="A100" s="141"/>
      <c r="B100" s="515" t="s">
        <v>406</v>
      </c>
      <c r="C100" s="515"/>
      <c r="D100" s="515"/>
      <c r="E100" s="515"/>
      <c r="F100" s="515"/>
      <c r="G100" s="515"/>
      <c r="H100" s="515"/>
      <c r="I100" s="515"/>
      <c r="J100" s="515"/>
      <c r="K100" s="515"/>
      <c r="L100" s="515"/>
      <c r="M100" s="515"/>
      <c r="N100" s="143">
        <v>802</v>
      </c>
      <c r="O100" s="144">
        <v>8</v>
      </c>
      <c r="P100" s="144">
        <v>4</v>
      </c>
      <c r="Q100" s="145" t="s">
        <v>472</v>
      </c>
      <c r="R100" s="146" t="s">
        <v>23</v>
      </c>
      <c r="S100" s="500"/>
      <c r="T100" s="500"/>
      <c r="U100" s="164">
        <v>385.74599999999998</v>
      </c>
      <c r="V100" s="164">
        <v>0</v>
      </c>
      <c r="W100" s="164">
        <v>385.74599999999998</v>
      </c>
      <c r="X100" s="514"/>
      <c r="Y100" s="514"/>
      <c r="Z100" s="514"/>
      <c r="AA100" s="514"/>
      <c r="AB100" s="514"/>
      <c r="AC100" s="514"/>
      <c r="AD100" s="514"/>
      <c r="AE100" s="164"/>
      <c r="AF100" s="160"/>
      <c r="AG100" s="160">
        <v>105.07879</v>
      </c>
      <c r="AH100" s="170">
        <f t="shared" si="2"/>
        <v>27.24040949225656</v>
      </c>
    </row>
    <row r="101" spans="1:34" ht="21.75" customHeight="1" x14ac:dyDescent="0.2">
      <c r="A101" s="141"/>
      <c r="B101" s="515" t="s">
        <v>345</v>
      </c>
      <c r="C101" s="515"/>
      <c r="D101" s="515"/>
      <c r="E101" s="515"/>
      <c r="F101" s="515"/>
      <c r="G101" s="515"/>
      <c r="H101" s="515"/>
      <c r="I101" s="515"/>
      <c r="J101" s="515"/>
      <c r="K101" s="515"/>
      <c r="L101" s="515"/>
      <c r="M101" s="515"/>
      <c r="N101" s="143">
        <v>802</v>
      </c>
      <c r="O101" s="144">
        <v>8</v>
      </c>
      <c r="P101" s="144">
        <v>4</v>
      </c>
      <c r="Q101" s="145" t="s">
        <v>472</v>
      </c>
      <c r="R101" s="146" t="s">
        <v>24</v>
      </c>
      <c r="S101" s="500"/>
      <c r="T101" s="500"/>
      <c r="U101" s="164">
        <v>239.96600000000001</v>
      </c>
      <c r="V101" s="164">
        <v>0</v>
      </c>
      <c r="W101" s="164">
        <v>239.96600000000001</v>
      </c>
      <c r="X101" s="514"/>
      <c r="Y101" s="514"/>
      <c r="Z101" s="514"/>
      <c r="AA101" s="514"/>
      <c r="AB101" s="514"/>
      <c r="AC101" s="514"/>
      <c r="AD101" s="514"/>
      <c r="AE101" s="164"/>
      <c r="AF101" s="160"/>
      <c r="AG101" s="160">
        <f>+AG102</f>
        <v>48.42</v>
      </c>
      <c r="AH101" s="170">
        <f t="shared" si="2"/>
        <v>20.17785852995841</v>
      </c>
    </row>
    <row r="102" spans="1:34" ht="21.75" customHeight="1" x14ac:dyDescent="0.2">
      <c r="A102" s="141"/>
      <c r="B102" s="515" t="s">
        <v>346</v>
      </c>
      <c r="C102" s="515"/>
      <c r="D102" s="515"/>
      <c r="E102" s="515"/>
      <c r="F102" s="515"/>
      <c r="G102" s="515"/>
      <c r="H102" s="515"/>
      <c r="I102" s="515"/>
      <c r="J102" s="515"/>
      <c r="K102" s="515"/>
      <c r="L102" s="515"/>
      <c r="M102" s="515"/>
      <c r="N102" s="143">
        <v>802</v>
      </c>
      <c r="O102" s="144">
        <v>8</v>
      </c>
      <c r="P102" s="144">
        <v>4</v>
      </c>
      <c r="Q102" s="145" t="s">
        <v>472</v>
      </c>
      <c r="R102" s="146" t="s">
        <v>26</v>
      </c>
      <c r="S102" s="500"/>
      <c r="T102" s="500"/>
      <c r="U102" s="164">
        <v>239.96600000000001</v>
      </c>
      <c r="V102" s="164">
        <v>0</v>
      </c>
      <c r="W102" s="164">
        <v>239.96600000000001</v>
      </c>
      <c r="X102" s="514"/>
      <c r="Y102" s="514"/>
      <c r="Z102" s="514"/>
      <c r="AA102" s="514"/>
      <c r="AB102" s="514"/>
      <c r="AC102" s="514"/>
      <c r="AD102" s="514"/>
      <c r="AE102" s="164"/>
      <c r="AF102" s="160"/>
      <c r="AG102" s="160">
        <f>+AG103+AG104</f>
        <v>48.42</v>
      </c>
      <c r="AH102" s="170">
        <f t="shared" si="2"/>
        <v>20.17785852995841</v>
      </c>
    </row>
    <row r="103" spans="1:34" ht="21.75" customHeight="1" x14ac:dyDescent="0.2">
      <c r="A103" s="141"/>
      <c r="B103" s="515" t="s">
        <v>347</v>
      </c>
      <c r="C103" s="515"/>
      <c r="D103" s="515"/>
      <c r="E103" s="515"/>
      <c r="F103" s="515"/>
      <c r="G103" s="515"/>
      <c r="H103" s="515"/>
      <c r="I103" s="515"/>
      <c r="J103" s="515"/>
      <c r="K103" s="515"/>
      <c r="L103" s="515"/>
      <c r="M103" s="515"/>
      <c r="N103" s="143">
        <v>802</v>
      </c>
      <c r="O103" s="144">
        <v>8</v>
      </c>
      <c r="P103" s="144">
        <v>4</v>
      </c>
      <c r="Q103" s="145" t="s">
        <v>472</v>
      </c>
      <c r="R103" s="146" t="s">
        <v>27</v>
      </c>
      <c r="S103" s="500"/>
      <c r="T103" s="500"/>
      <c r="U103" s="164">
        <v>118.086</v>
      </c>
      <c r="V103" s="164">
        <v>0</v>
      </c>
      <c r="W103" s="164">
        <v>118.086</v>
      </c>
      <c r="X103" s="514"/>
      <c r="Y103" s="514"/>
      <c r="Z103" s="514"/>
      <c r="AA103" s="514"/>
      <c r="AB103" s="514"/>
      <c r="AC103" s="514"/>
      <c r="AD103" s="514"/>
      <c r="AE103" s="164"/>
      <c r="AF103" s="160"/>
      <c r="AG103" s="160">
        <v>38.42</v>
      </c>
      <c r="AH103" s="170">
        <f t="shared" si="2"/>
        <v>32.535609640431552</v>
      </c>
    </row>
    <row r="104" spans="1:34" ht="12" customHeight="1" x14ac:dyDescent="0.2">
      <c r="A104" s="141"/>
      <c r="B104" s="515" t="s">
        <v>348</v>
      </c>
      <c r="C104" s="515"/>
      <c r="D104" s="515"/>
      <c r="E104" s="515"/>
      <c r="F104" s="515"/>
      <c r="G104" s="515"/>
      <c r="H104" s="515"/>
      <c r="I104" s="515"/>
      <c r="J104" s="515"/>
      <c r="K104" s="515"/>
      <c r="L104" s="515"/>
      <c r="M104" s="515"/>
      <c r="N104" s="143">
        <v>802</v>
      </c>
      <c r="O104" s="144">
        <v>8</v>
      </c>
      <c r="P104" s="144">
        <v>4</v>
      </c>
      <c r="Q104" s="145" t="s">
        <v>472</v>
      </c>
      <c r="R104" s="146" t="s">
        <v>28</v>
      </c>
      <c r="S104" s="500"/>
      <c r="T104" s="500"/>
      <c r="U104" s="164">
        <v>121.88</v>
      </c>
      <c r="V104" s="164">
        <v>0</v>
      </c>
      <c r="W104" s="164">
        <v>121.88</v>
      </c>
      <c r="X104" s="514"/>
      <c r="Y104" s="514"/>
      <c r="Z104" s="514"/>
      <c r="AA104" s="514"/>
      <c r="AB104" s="514"/>
      <c r="AC104" s="514"/>
      <c r="AD104" s="514"/>
      <c r="AE104" s="164"/>
      <c r="AF104" s="160"/>
      <c r="AG104" s="160">
        <v>10</v>
      </c>
      <c r="AH104" s="170">
        <f t="shared" si="2"/>
        <v>8.2047915982934043</v>
      </c>
    </row>
    <row r="105" spans="1:34" ht="21.75" customHeight="1" x14ac:dyDescent="0.2">
      <c r="A105" s="141"/>
      <c r="B105" s="515" t="s">
        <v>526</v>
      </c>
      <c r="C105" s="515"/>
      <c r="D105" s="515"/>
      <c r="E105" s="515"/>
      <c r="F105" s="515"/>
      <c r="G105" s="515"/>
      <c r="H105" s="515"/>
      <c r="I105" s="515"/>
      <c r="J105" s="515"/>
      <c r="K105" s="515"/>
      <c r="L105" s="515"/>
      <c r="M105" s="515"/>
      <c r="N105" s="143">
        <v>804</v>
      </c>
      <c r="O105" s="144">
        <v>0</v>
      </c>
      <c r="P105" s="144">
        <v>0</v>
      </c>
      <c r="Q105" s="145">
        <v>0</v>
      </c>
      <c r="R105" s="146">
        <v>0</v>
      </c>
      <c r="S105" s="500"/>
      <c r="T105" s="500"/>
      <c r="U105" s="164">
        <v>54460.784</v>
      </c>
      <c r="V105" s="164">
        <v>0</v>
      </c>
      <c r="W105" s="164">
        <v>54460.784</v>
      </c>
      <c r="X105" s="514"/>
      <c r="Y105" s="514"/>
      <c r="Z105" s="514"/>
      <c r="AA105" s="514"/>
      <c r="AB105" s="514"/>
      <c r="AC105" s="514"/>
      <c r="AD105" s="514"/>
      <c r="AE105" s="164"/>
      <c r="AF105" s="160"/>
      <c r="AG105" s="160">
        <f>+AG106</f>
        <v>13115.274249999999</v>
      </c>
      <c r="AH105" s="170">
        <f t="shared" si="2"/>
        <v>24.082051866899306</v>
      </c>
    </row>
    <row r="106" spans="1:34" ht="12" customHeight="1" x14ac:dyDescent="0.2">
      <c r="A106" s="141"/>
      <c r="B106" s="515" t="s">
        <v>150</v>
      </c>
      <c r="C106" s="515"/>
      <c r="D106" s="515"/>
      <c r="E106" s="515"/>
      <c r="F106" s="515"/>
      <c r="G106" s="515"/>
      <c r="H106" s="515"/>
      <c r="I106" s="515"/>
      <c r="J106" s="515"/>
      <c r="K106" s="515"/>
      <c r="L106" s="515"/>
      <c r="M106" s="515"/>
      <c r="N106" s="143">
        <v>804</v>
      </c>
      <c r="O106" s="144">
        <v>10</v>
      </c>
      <c r="P106" s="144">
        <v>0</v>
      </c>
      <c r="Q106" s="145">
        <v>0</v>
      </c>
      <c r="R106" s="146">
        <v>0</v>
      </c>
      <c r="S106" s="500"/>
      <c r="T106" s="500"/>
      <c r="U106" s="164">
        <v>54460.784</v>
      </c>
      <c r="V106" s="164">
        <v>0</v>
      </c>
      <c r="W106" s="164">
        <v>54460.784</v>
      </c>
      <c r="X106" s="514"/>
      <c r="Y106" s="514"/>
      <c r="Z106" s="514"/>
      <c r="AA106" s="514"/>
      <c r="AB106" s="514"/>
      <c r="AC106" s="514"/>
      <c r="AD106" s="514"/>
      <c r="AE106" s="164"/>
      <c r="AF106" s="160"/>
      <c r="AG106" s="160">
        <f>+AG107+AG168+AG185</f>
        <v>13115.274249999999</v>
      </c>
      <c r="AH106" s="170">
        <f t="shared" si="2"/>
        <v>24.082051866899306</v>
      </c>
    </row>
    <row r="107" spans="1:34" ht="12" customHeight="1" x14ac:dyDescent="0.2">
      <c r="A107" s="141"/>
      <c r="B107" s="515" t="s">
        <v>52</v>
      </c>
      <c r="C107" s="515"/>
      <c r="D107" s="515"/>
      <c r="E107" s="515"/>
      <c r="F107" s="515"/>
      <c r="G107" s="515"/>
      <c r="H107" s="515"/>
      <c r="I107" s="515"/>
      <c r="J107" s="515"/>
      <c r="K107" s="515"/>
      <c r="L107" s="515"/>
      <c r="M107" s="515"/>
      <c r="N107" s="143">
        <v>804</v>
      </c>
      <c r="O107" s="144">
        <v>10</v>
      </c>
      <c r="P107" s="144">
        <v>3</v>
      </c>
      <c r="Q107" s="145">
        <v>0</v>
      </c>
      <c r="R107" s="146">
        <v>0</v>
      </c>
      <c r="S107" s="500"/>
      <c r="T107" s="500"/>
      <c r="U107" s="164">
        <v>17477.400000000001</v>
      </c>
      <c r="V107" s="164">
        <v>0</v>
      </c>
      <c r="W107" s="164">
        <v>17477.400000000001</v>
      </c>
      <c r="X107" s="514"/>
      <c r="Y107" s="514"/>
      <c r="Z107" s="514"/>
      <c r="AA107" s="514"/>
      <c r="AB107" s="514"/>
      <c r="AC107" s="514"/>
      <c r="AD107" s="514"/>
      <c r="AE107" s="164"/>
      <c r="AF107" s="160"/>
      <c r="AG107" s="160">
        <f>+AG108+AG114+AG123+AG129+AG135+AG141+AG150+AG159</f>
        <v>4345.34782</v>
      </c>
      <c r="AH107" s="170">
        <f t="shared" si="2"/>
        <v>24.862667330380948</v>
      </c>
    </row>
    <row r="108" spans="1:34" ht="21.75" customHeight="1" x14ac:dyDescent="0.2">
      <c r="A108" s="141"/>
      <c r="B108" s="515" t="s">
        <v>155</v>
      </c>
      <c r="C108" s="515"/>
      <c r="D108" s="515"/>
      <c r="E108" s="515"/>
      <c r="F108" s="515"/>
      <c r="G108" s="515"/>
      <c r="H108" s="515"/>
      <c r="I108" s="515"/>
      <c r="J108" s="515"/>
      <c r="K108" s="515"/>
      <c r="L108" s="515"/>
      <c r="M108" s="515"/>
      <c r="N108" s="143">
        <v>804</v>
      </c>
      <c r="O108" s="144">
        <v>10</v>
      </c>
      <c r="P108" s="144">
        <v>3</v>
      </c>
      <c r="Q108" s="145" t="s">
        <v>473</v>
      </c>
      <c r="R108" s="146">
        <v>0</v>
      </c>
      <c r="S108" s="500"/>
      <c r="T108" s="500"/>
      <c r="U108" s="164">
        <v>1793</v>
      </c>
      <c r="V108" s="164">
        <v>0</v>
      </c>
      <c r="W108" s="164">
        <v>1793</v>
      </c>
      <c r="X108" s="514"/>
      <c r="Y108" s="514"/>
      <c r="Z108" s="514"/>
      <c r="AA108" s="514"/>
      <c r="AB108" s="514"/>
      <c r="AC108" s="514"/>
      <c r="AD108" s="514"/>
      <c r="AE108" s="164"/>
      <c r="AF108" s="160"/>
      <c r="AG108" s="160">
        <f>+AG109</f>
        <v>0</v>
      </c>
      <c r="AH108" s="170">
        <f t="shared" si="2"/>
        <v>0</v>
      </c>
    </row>
    <row r="109" spans="1:34" ht="21.75" customHeight="1" x14ac:dyDescent="0.2">
      <c r="A109" s="141"/>
      <c r="B109" s="515" t="s">
        <v>42</v>
      </c>
      <c r="C109" s="515"/>
      <c r="D109" s="515"/>
      <c r="E109" s="515"/>
      <c r="F109" s="515"/>
      <c r="G109" s="515"/>
      <c r="H109" s="515"/>
      <c r="I109" s="515"/>
      <c r="J109" s="515"/>
      <c r="K109" s="515"/>
      <c r="L109" s="515"/>
      <c r="M109" s="515"/>
      <c r="N109" s="143">
        <v>804</v>
      </c>
      <c r="O109" s="144">
        <v>10</v>
      </c>
      <c r="P109" s="144">
        <v>3</v>
      </c>
      <c r="Q109" s="145" t="s">
        <v>474</v>
      </c>
      <c r="R109" s="146">
        <v>0</v>
      </c>
      <c r="S109" s="500"/>
      <c r="T109" s="500"/>
      <c r="U109" s="164">
        <v>1793</v>
      </c>
      <c r="V109" s="164">
        <v>0</v>
      </c>
      <c r="W109" s="164">
        <v>1793</v>
      </c>
      <c r="X109" s="514"/>
      <c r="Y109" s="514"/>
      <c r="Z109" s="514"/>
      <c r="AA109" s="514"/>
      <c r="AB109" s="514"/>
      <c r="AC109" s="514"/>
      <c r="AD109" s="514"/>
      <c r="AE109" s="164"/>
      <c r="AF109" s="160"/>
      <c r="AG109" s="160">
        <f>+AG110</f>
        <v>0</v>
      </c>
      <c r="AH109" s="170">
        <f t="shared" si="2"/>
        <v>0</v>
      </c>
    </row>
    <row r="110" spans="1:34" ht="32.25" customHeight="1" x14ac:dyDescent="0.2">
      <c r="A110" s="141"/>
      <c r="B110" s="515" t="s">
        <v>300</v>
      </c>
      <c r="C110" s="515"/>
      <c r="D110" s="515"/>
      <c r="E110" s="515"/>
      <c r="F110" s="515"/>
      <c r="G110" s="515"/>
      <c r="H110" s="515"/>
      <c r="I110" s="515"/>
      <c r="J110" s="515"/>
      <c r="K110" s="515"/>
      <c r="L110" s="515"/>
      <c r="M110" s="515"/>
      <c r="N110" s="143">
        <v>804</v>
      </c>
      <c r="O110" s="144">
        <v>10</v>
      </c>
      <c r="P110" s="144">
        <v>3</v>
      </c>
      <c r="Q110" s="145" t="s">
        <v>475</v>
      </c>
      <c r="R110" s="146">
        <v>0</v>
      </c>
      <c r="S110" s="500"/>
      <c r="T110" s="500"/>
      <c r="U110" s="164">
        <v>1793</v>
      </c>
      <c r="V110" s="164">
        <v>0</v>
      </c>
      <c r="W110" s="164">
        <v>1793</v>
      </c>
      <c r="X110" s="514"/>
      <c r="Y110" s="514"/>
      <c r="Z110" s="514"/>
      <c r="AA110" s="514"/>
      <c r="AB110" s="514"/>
      <c r="AC110" s="514"/>
      <c r="AD110" s="514"/>
      <c r="AE110" s="164"/>
      <c r="AF110" s="160"/>
      <c r="AG110" s="160">
        <f>+AG111</f>
        <v>0</v>
      </c>
      <c r="AH110" s="170">
        <f t="shared" si="2"/>
        <v>0</v>
      </c>
    </row>
    <row r="111" spans="1:34" ht="12" customHeight="1" x14ac:dyDescent="0.2">
      <c r="A111" s="141"/>
      <c r="B111" s="515" t="s">
        <v>46</v>
      </c>
      <c r="C111" s="515"/>
      <c r="D111" s="515"/>
      <c r="E111" s="515"/>
      <c r="F111" s="515"/>
      <c r="G111" s="515"/>
      <c r="H111" s="515"/>
      <c r="I111" s="515"/>
      <c r="J111" s="515"/>
      <c r="K111" s="515"/>
      <c r="L111" s="515"/>
      <c r="M111" s="515"/>
      <c r="N111" s="143">
        <v>804</v>
      </c>
      <c r="O111" s="144">
        <v>10</v>
      </c>
      <c r="P111" s="144">
        <v>3</v>
      </c>
      <c r="Q111" s="145" t="s">
        <v>475</v>
      </c>
      <c r="R111" s="146" t="s">
        <v>43</v>
      </c>
      <c r="S111" s="500"/>
      <c r="T111" s="500"/>
      <c r="U111" s="164">
        <v>1793</v>
      </c>
      <c r="V111" s="164">
        <v>0</v>
      </c>
      <c r="W111" s="164">
        <v>1793</v>
      </c>
      <c r="X111" s="514"/>
      <c r="Y111" s="514"/>
      <c r="Z111" s="514"/>
      <c r="AA111" s="514"/>
      <c r="AB111" s="514"/>
      <c r="AC111" s="514"/>
      <c r="AD111" s="514"/>
      <c r="AE111" s="164"/>
      <c r="AF111" s="160"/>
      <c r="AG111" s="160">
        <f>+AG112</f>
        <v>0</v>
      </c>
      <c r="AH111" s="170">
        <f t="shared" si="2"/>
        <v>0</v>
      </c>
    </row>
    <row r="112" spans="1:34" ht="21.75" customHeight="1" x14ac:dyDescent="0.2">
      <c r="A112" s="141"/>
      <c r="B112" s="515" t="s">
        <v>492</v>
      </c>
      <c r="C112" s="515"/>
      <c r="D112" s="515"/>
      <c r="E112" s="515"/>
      <c r="F112" s="515"/>
      <c r="G112" s="515"/>
      <c r="H112" s="515"/>
      <c r="I112" s="515"/>
      <c r="J112" s="515"/>
      <c r="K112" s="515"/>
      <c r="L112" s="515"/>
      <c r="M112" s="515"/>
      <c r="N112" s="143">
        <v>804</v>
      </c>
      <c r="O112" s="144">
        <v>10</v>
      </c>
      <c r="P112" s="144">
        <v>3</v>
      </c>
      <c r="Q112" s="145" t="s">
        <v>475</v>
      </c>
      <c r="R112" s="146" t="s">
        <v>493</v>
      </c>
      <c r="S112" s="500"/>
      <c r="T112" s="500"/>
      <c r="U112" s="164">
        <v>1793</v>
      </c>
      <c r="V112" s="164">
        <v>0</v>
      </c>
      <c r="W112" s="164">
        <v>1793</v>
      </c>
      <c r="X112" s="514"/>
      <c r="Y112" s="514"/>
      <c r="Z112" s="514"/>
      <c r="AA112" s="514"/>
      <c r="AB112" s="514"/>
      <c r="AC112" s="514"/>
      <c r="AD112" s="514"/>
      <c r="AE112" s="164"/>
      <c r="AF112" s="160"/>
      <c r="AG112" s="160">
        <f>+AG113</f>
        <v>0</v>
      </c>
      <c r="AH112" s="170">
        <f t="shared" si="2"/>
        <v>0</v>
      </c>
    </row>
    <row r="113" spans="1:34" ht="21.75" customHeight="1" x14ac:dyDescent="0.2">
      <c r="A113" s="141"/>
      <c r="B113" s="515" t="s">
        <v>569</v>
      </c>
      <c r="C113" s="515"/>
      <c r="D113" s="515"/>
      <c r="E113" s="515"/>
      <c r="F113" s="515"/>
      <c r="G113" s="515"/>
      <c r="H113" s="515"/>
      <c r="I113" s="515"/>
      <c r="J113" s="515"/>
      <c r="K113" s="515"/>
      <c r="L113" s="515"/>
      <c r="M113" s="515"/>
      <c r="N113" s="143">
        <v>804</v>
      </c>
      <c r="O113" s="144">
        <v>10</v>
      </c>
      <c r="P113" s="144">
        <v>3</v>
      </c>
      <c r="Q113" s="145" t="s">
        <v>475</v>
      </c>
      <c r="R113" s="146" t="s">
        <v>570</v>
      </c>
      <c r="S113" s="500"/>
      <c r="T113" s="500"/>
      <c r="U113" s="164">
        <v>1793</v>
      </c>
      <c r="V113" s="164">
        <v>0</v>
      </c>
      <c r="W113" s="164">
        <v>1793</v>
      </c>
      <c r="X113" s="514"/>
      <c r="Y113" s="514"/>
      <c r="Z113" s="514"/>
      <c r="AA113" s="514"/>
      <c r="AB113" s="514"/>
      <c r="AC113" s="514"/>
      <c r="AD113" s="514"/>
      <c r="AE113" s="164"/>
      <c r="AF113" s="160"/>
      <c r="AG113" s="160"/>
      <c r="AH113" s="170">
        <f t="shared" si="2"/>
        <v>0</v>
      </c>
    </row>
    <row r="114" spans="1:34" ht="21.75" customHeight="1" x14ac:dyDescent="0.2">
      <c r="A114" s="141"/>
      <c r="B114" s="515" t="s">
        <v>155</v>
      </c>
      <c r="C114" s="515"/>
      <c r="D114" s="515"/>
      <c r="E114" s="515"/>
      <c r="F114" s="515"/>
      <c r="G114" s="515"/>
      <c r="H114" s="515"/>
      <c r="I114" s="515"/>
      <c r="J114" s="515"/>
      <c r="K114" s="515"/>
      <c r="L114" s="515"/>
      <c r="M114" s="515"/>
      <c r="N114" s="143">
        <v>804</v>
      </c>
      <c r="O114" s="144">
        <v>10</v>
      </c>
      <c r="P114" s="144">
        <v>3</v>
      </c>
      <c r="Q114" s="145" t="s">
        <v>473</v>
      </c>
      <c r="R114" s="146">
        <v>0</v>
      </c>
      <c r="S114" s="500"/>
      <c r="T114" s="500"/>
      <c r="U114" s="164">
        <v>4407.8999999999996</v>
      </c>
      <c r="V114" s="164">
        <v>0</v>
      </c>
      <c r="W114" s="164">
        <v>4407.8999999999996</v>
      </c>
      <c r="X114" s="514"/>
      <c r="Y114" s="514"/>
      <c r="Z114" s="514"/>
      <c r="AA114" s="514"/>
      <c r="AB114" s="514"/>
      <c r="AC114" s="514"/>
      <c r="AD114" s="514"/>
      <c r="AE114" s="164"/>
      <c r="AF114" s="160"/>
      <c r="AG114" s="160">
        <f>+AG115</f>
        <v>1081.8710000000001</v>
      </c>
      <c r="AH114" s="170">
        <f t="shared" si="2"/>
        <v>24.543909798316662</v>
      </c>
    </row>
    <row r="115" spans="1:34" ht="21.75" customHeight="1" x14ac:dyDescent="0.2">
      <c r="A115" s="141"/>
      <c r="B115" s="515" t="s">
        <v>42</v>
      </c>
      <c r="C115" s="515"/>
      <c r="D115" s="515"/>
      <c r="E115" s="515"/>
      <c r="F115" s="515"/>
      <c r="G115" s="515"/>
      <c r="H115" s="515"/>
      <c r="I115" s="515"/>
      <c r="J115" s="515"/>
      <c r="K115" s="515"/>
      <c r="L115" s="515"/>
      <c r="M115" s="515"/>
      <c r="N115" s="143">
        <v>804</v>
      </c>
      <c r="O115" s="144">
        <v>10</v>
      </c>
      <c r="P115" s="144">
        <v>3</v>
      </c>
      <c r="Q115" s="145" t="s">
        <v>474</v>
      </c>
      <c r="R115" s="146">
        <v>0</v>
      </c>
      <c r="S115" s="500"/>
      <c r="T115" s="500"/>
      <c r="U115" s="164">
        <v>4407.8999999999996</v>
      </c>
      <c r="V115" s="164">
        <v>0</v>
      </c>
      <c r="W115" s="164">
        <v>4407.8999999999996</v>
      </c>
      <c r="X115" s="514"/>
      <c r="Y115" s="514"/>
      <c r="Z115" s="514"/>
      <c r="AA115" s="514"/>
      <c r="AB115" s="514"/>
      <c r="AC115" s="514"/>
      <c r="AD115" s="514"/>
      <c r="AE115" s="164"/>
      <c r="AF115" s="160"/>
      <c r="AG115" s="160">
        <f>+AG116</f>
        <v>1081.8710000000001</v>
      </c>
      <c r="AH115" s="170">
        <f t="shared" si="2"/>
        <v>24.543909798316662</v>
      </c>
    </row>
    <row r="116" spans="1:34" ht="21.75" customHeight="1" x14ac:dyDescent="0.2">
      <c r="A116" s="141"/>
      <c r="B116" s="515" t="s">
        <v>45</v>
      </c>
      <c r="C116" s="515"/>
      <c r="D116" s="515"/>
      <c r="E116" s="515"/>
      <c r="F116" s="515"/>
      <c r="G116" s="515"/>
      <c r="H116" s="515"/>
      <c r="I116" s="515"/>
      <c r="J116" s="515"/>
      <c r="K116" s="515"/>
      <c r="L116" s="515"/>
      <c r="M116" s="515"/>
      <c r="N116" s="143">
        <v>804</v>
      </c>
      <c r="O116" s="144">
        <v>10</v>
      </c>
      <c r="P116" s="144">
        <v>3</v>
      </c>
      <c r="Q116" s="145" t="s">
        <v>477</v>
      </c>
      <c r="R116" s="146">
        <v>0</v>
      </c>
      <c r="S116" s="500"/>
      <c r="T116" s="500"/>
      <c r="U116" s="164">
        <v>4407.8999999999996</v>
      </c>
      <c r="V116" s="164">
        <v>0</v>
      </c>
      <c r="W116" s="164">
        <v>4407.8999999999996</v>
      </c>
      <c r="X116" s="514"/>
      <c r="Y116" s="514"/>
      <c r="Z116" s="514"/>
      <c r="AA116" s="514"/>
      <c r="AB116" s="514"/>
      <c r="AC116" s="514"/>
      <c r="AD116" s="514"/>
      <c r="AE116" s="164"/>
      <c r="AF116" s="160"/>
      <c r="AG116" s="160">
        <f>+AG117+AG120</f>
        <v>1081.8710000000001</v>
      </c>
      <c r="AH116" s="170">
        <f t="shared" si="2"/>
        <v>24.543909798316662</v>
      </c>
    </row>
    <row r="117" spans="1:34" ht="21.75" customHeight="1" x14ac:dyDescent="0.2">
      <c r="A117" s="141"/>
      <c r="B117" s="515" t="s">
        <v>345</v>
      </c>
      <c r="C117" s="515"/>
      <c r="D117" s="515"/>
      <c r="E117" s="515"/>
      <c r="F117" s="515"/>
      <c r="G117" s="515"/>
      <c r="H117" s="515"/>
      <c r="I117" s="515"/>
      <c r="J117" s="515"/>
      <c r="K117" s="515"/>
      <c r="L117" s="515"/>
      <c r="M117" s="515"/>
      <c r="N117" s="143">
        <v>804</v>
      </c>
      <c r="O117" s="144">
        <v>10</v>
      </c>
      <c r="P117" s="144">
        <v>3</v>
      </c>
      <c r="Q117" s="145" t="s">
        <v>477</v>
      </c>
      <c r="R117" s="146" t="s">
        <v>24</v>
      </c>
      <c r="S117" s="500"/>
      <c r="T117" s="500"/>
      <c r="U117" s="164">
        <v>38.9</v>
      </c>
      <c r="V117" s="164">
        <v>0</v>
      </c>
      <c r="W117" s="164">
        <v>38.9</v>
      </c>
      <c r="X117" s="514"/>
      <c r="Y117" s="514"/>
      <c r="Z117" s="514"/>
      <c r="AA117" s="514"/>
      <c r="AB117" s="514"/>
      <c r="AC117" s="514"/>
      <c r="AD117" s="514"/>
      <c r="AE117" s="164"/>
      <c r="AF117" s="160"/>
      <c r="AG117" s="160">
        <f>+AG118</f>
        <v>5.6790000000000003</v>
      </c>
      <c r="AH117" s="170">
        <f t="shared" si="2"/>
        <v>14.598971722365039</v>
      </c>
    </row>
    <row r="118" spans="1:34" ht="21.75" customHeight="1" x14ac:dyDescent="0.2">
      <c r="A118" s="141"/>
      <c r="B118" s="515" t="s">
        <v>346</v>
      </c>
      <c r="C118" s="515"/>
      <c r="D118" s="515"/>
      <c r="E118" s="515"/>
      <c r="F118" s="515"/>
      <c r="G118" s="515"/>
      <c r="H118" s="515"/>
      <c r="I118" s="515"/>
      <c r="J118" s="515"/>
      <c r="K118" s="515"/>
      <c r="L118" s="515"/>
      <c r="M118" s="515"/>
      <c r="N118" s="143">
        <v>804</v>
      </c>
      <c r="O118" s="144">
        <v>10</v>
      </c>
      <c r="P118" s="144">
        <v>3</v>
      </c>
      <c r="Q118" s="145" t="s">
        <v>477</v>
      </c>
      <c r="R118" s="146" t="s">
        <v>26</v>
      </c>
      <c r="S118" s="500"/>
      <c r="T118" s="500"/>
      <c r="U118" s="164">
        <v>38.9</v>
      </c>
      <c r="V118" s="164">
        <v>0</v>
      </c>
      <c r="W118" s="164">
        <v>38.9</v>
      </c>
      <c r="X118" s="514"/>
      <c r="Y118" s="514"/>
      <c r="Z118" s="514"/>
      <c r="AA118" s="514"/>
      <c r="AB118" s="514"/>
      <c r="AC118" s="514"/>
      <c r="AD118" s="514"/>
      <c r="AE118" s="164"/>
      <c r="AF118" s="160"/>
      <c r="AG118" s="160">
        <f>+AG119</f>
        <v>5.6790000000000003</v>
      </c>
      <c r="AH118" s="170">
        <f t="shared" si="2"/>
        <v>14.598971722365039</v>
      </c>
    </row>
    <row r="119" spans="1:34" ht="12" customHeight="1" x14ac:dyDescent="0.2">
      <c r="A119" s="141"/>
      <c r="B119" s="515" t="s">
        <v>348</v>
      </c>
      <c r="C119" s="515"/>
      <c r="D119" s="515"/>
      <c r="E119" s="515"/>
      <c r="F119" s="515"/>
      <c r="G119" s="515"/>
      <c r="H119" s="515"/>
      <c r="I119" s="515"/>
      <c r="J119" s="515"/>
      <c r="K119" s="515"/>
      <c r="L119" s="515"/>
      <c r="M119" s="515"/>
      <c r="N119" s="143">
        <v>804</v>
      </c>
      <c r="O119" s="144">
        <v>10</v>
      </c>
      <c r="P119" s="144">
        <v>3</v>
      </c>
      <c r="Q119" s="145" t="s">
        <v>477</v>
      </c>
      <c r="R119" s="146" t="s">
        <v>28</v>
      </c>
      <c r="S119" s="500"/>
      <c r="T119" s="500"/>
      <c r="U119" s="164">
        <v>38.9</v>
      </c>
      <c r="V119" s="164">
        <v>0</v>
      </c>
      <c r="W119" s="164">
        <v>38.9</v>
      </c>
      <c r="X119" s="514"/>
      <c r="Y119" s="514"/>
      <c r="Z119" s="514"/>
      <c r="AA119" s="514"/>
      <c r="AB119" s="514"/>
      <c r="AC119" s="514"/>
      <c r="AD119" s="514"/>
      <c r="AE119" s="164"/>
      <c r="AF119" s="160"/>
      <c r="AG119" s="160">
        <v>5.6790000000000003</v>
      </c>
      <c r="AH119" s="170">
        <f t="shared" si="2"/>
        <v>14.598971722365039</v>
      </c>
    </row>
    <row r="120" spans="1:34" ht="12" customHeight="1" x14ac:dyDescent="0.2">
      <c r="A120" s="141"/>
      <c r="B120" s="515" t="s">
        <v>46</v>
      </c>
      <c r="C120" s="515"/>
      <c r="D120" s="515"/>
      <c r="E120" s="515"/>
      <c r="F120" s="515"/>
      <c r="G120" s="515"/>
      <c r="H120" s="515"/>
      <c r="I120" s="515"/>
      <c r="J120" s="515"/>
      <c r="K120" s="515"/>
      <c r="L120" s="515"/>
      <c r="M120" s="515"/>
      <c r="N120" s="143">
        <v>804</v>
      </c>
      <c r="O120" s="144">
        <v>10</v>
      </c>
      <c r="P120" s="144">
        <v>3</v>
      </c>
      <c r="Q120" s="145" t="s">
        <v>477</v>
      </c>
      <c r="R120" s="146" t="s">
        <v>43</v>
      </c>
      <c r="S120" s="500"/>
      <c r="T120" s="500"/>
      <c r="U120" s="164">
        <v>4369</v>
      </c>
      <c r="V120" s="164">
        <v>0</v>
      </c>
      <c r="W120" s="164">
        <v>4369</v>
      </c>
      <c r="X120" s="514"/>
      <c r="Y120" s="514"/>
      <c r="Z120" s="514"/>
      <c r="AA120" s="514"/>
      <c r="AB120" s="514"/>
      <c r="AC120" s="514"/>
      <c r="AD120" s="514"/>
      <c r="AE120" s="164"/>
      <c r="AF120" s="160"/>
      <c r="AG120" s="160">
        <f>+AG121</f>
        <v>1076.192</v>
      </c>
      <c r="AH120" s="170">
        <f t="shared" si="2"/>
        <v>24.632455939574275</v>
      </c>
    </row>
    <row r="121" spans="1:34" ht="12" customHeight="1" x14ac:dyDescent="0.2">
      <c r="A121" s="141"/>
      <c r="B121" s="515" t="s">
        <v>47</v>
      </c>
      <c r="C121" s="515"/>
      <c r="D121" s="515"/>
      <c r="E121" s="515"/>
      <c r="F121" s="515"/>
      <c r="G121" s="515"/>
      <c r="H121" s="515"/>
      <c r="I121" s="515"/>
      <c r="J121" s="515"/>
      <c r="K121" s="515"/>
      <c r="L121" s="515"/>
      <c r="M121" s="515"/>
      <c r="N121" s="143">
        <v>804</v>
      </c>
      <c r="O121" s="144">
        <v>10</v>
      </c>
      <c r="P121" s="144">
        <v>3</v>
      </c>
      <c r="Q121" s="145" t="s">
        <v>477</v>
      </c>
      <c r="R121" s="146" t="s">
        <v>44</v>
      </c>
      <c r="S121" s="500"/>
      <c r="T121" s="500"/>
      <c r="U121" s="164">
        <v>4369</v>
      </c>
      <c r="V121" s="164">
        <v>0</v>
      </c>
      <c r="W121" s="164">
        <v>4369</v>
      </c>
      <c r="X121" s="514"/>
      <c r="Y121" s="514"/>
      <c r="Z121" s="514"/>
      <c r="AA121" s="514"/>
      <c r="AB121" s="514"/>
      <c r="AC121" s="514"/>
      <c r="AD121" s="514"/>
      <c r="AE121" s="164"/>
      <c r="AF121" s="160"/>
      <c r="AG121" s="160">
        <f>+AG122</f>
        <v>1076.192</v>
      </c>
      <c r="AH121" s="170">
        <f t="shared" si="2"/>
        <v>24.632455939574275</v>
      </c>
    </row>
    <row r="122" spans="1:34" ht="21.75" customHeight="1" x14ac:dyDescent="0.2">
      <c r="A122" s="141"/>
      <c r="B122" s="515" t="s">
        <v>476</v>
      </c>
      <c r="C122" s="515"/>
      <c r="D122" s="515"/>
      <c r="E122" s="515"/>
      <c r="F122" s="515"/>
      <c r="G122" s="515"/>
      <c r="H122" s="515"/>
      <c r="I122" s="515"/>
      <c r="J122" s="515"/>
      <c r="K122" s="515"/>
      <c r="L122" s="515"/>
      <c r="M122" s="515"/>
      <c r="N122" s="143">
        <v>804</v>
      </c>
      <c r="O122" s="144">
        <v>10</v>
      </c>
      <c r="P122" s="144">
        <v>3</v>
      </c>
      <c r="Q122" s="145" t="s">
        <v>477</v>
      </c>
      <c r="R122" s="146" t="s">
        <v>48</v>
      </c>
      <c r="S122" s="500"/>
      <c r="T122" s="500"/>
      <c r="U122" s="164">
        <v>4369</v>
      </c>
      <c r="V122" s="164">
        <v>0</v>
      </c>
      <c r="W122" s="164">
        <v>4369</v>
      </c>
      <c r="X122" s="514"/>
      <c r="Y122" s="514"/>
      <c r="Z122" s="514"/>
      <c r="AA122" s="514"/>
      <c r="AB122" s="514"/>
      <c r="AC122" s="514"/>
      <c r="AD122" s="514"/>
      <c r="AE122" s="164"/>
      <c r="AF122" s="160"/>
      <c r="AG122" s="160">
        <v>1076.192</v>
      </c>
      <c r="AH122" s="170">
        <f t="shared" si="2"/>
        <v>24.632455939574275</v>
      </c>
    </row>
    <row r="123" spans="1:34" ht="21.75" customHeight="1" x14ac:dyDescent="0.2">
      <c r="A123" s="141"/>
      <c r="B123" s="515" t="s">
        <v>155</v>
      </c>
      <c r="C123" s="515"/>
      <c r="D123" s="515"/>
      <c r="E123" s="515"/>
      <c r="F123" s="515"/>
      <c r="G123" s="515"/>
      <c r="H123" s="515"/>
      <c r="I123" s="515"/>
      <c r="J123" s="515"/>
      <c r="K123" s="515"/>
      <c r="L123" s="515"/>
      <c r="M123" s="515"/>
      <c r="N123" s="143">
        <v>804</v>
      </c>
      <c r="O123" s="144">
        <v>10</v>
      </c>
      <c r="P123" s="144">
        <v>3</v>
      </c>
      <c r="Q123" s="145" t="s">
        <v>473</v>
      </c>
      <c r="R123" s="146">
        <v>0</v>
      </c>
      <c r="S123" s="500"/>
      <c r="T123" s="500"/>
      <c r="U123" s="164">
        <v>74.5</v>
      </c>
      <c r="V123" s="164">
        <v>0</v>
      </c>
      <c r="W123" s="164">
        <v>74.5</v>
      </c>
      <c r="X123" s="514"/>
      <c r="Y123" s="514"/>
      <c r="Z123" s="514"/>
      <c r="AA123" s="514"/>
      <c r="AB123" s="514"/>
      <c r="AC123" s="514"/>
      <c r="AD123" s="514"/>
      <c r="AE123" s="164"/>
      <c r="AF123" s="160"/>
      <c r="AG123" s="160">
        <f>+AG124</f>
        <v>0</v>
      </c>
      <c r="AH123" s="170">
        <f t="shared" si="2"/>
        <v>0</v>
      </c>
    </row>
    <row r="124" spans="1:34" ht="21.75" customHeight="1" x14ac:dyDescent="0.2">
      <c r="A124" s="141"/>
      <c r="B124" s="515" t="s">
        <v>42</v>
      </c>
      <c r="C124" s="515"/>
      <c r="D124" s="515"/>
      <c r="E124" s="515"/>
      <c r="F124" s="515"/>
      <c r="G124" s="515"/>
      <c r="H124" s="515"/>
      <c r="I124" s="515"/>
      <c r="J124" s="515"/>
      <c r="K124" s="515"/>
      <c r="L124" s="515"/>
      <c r="M124" s="515"/>
      <c r="N124" s="143">
        <v>804</v>
      </c>
      <c r="O124" s="144">
        <v>10</v>
      </c>
      <c r="P124" s="144">
        <v>3</v>
      </c>
      <c r="Q124" s="145" t="s">
        <v>474</v>
      </c>
      <c r="R124" s="146">
        <v>0</v>
      </c>
      <c r="S124" s="500"/>
      <c r="T124" s="500"/>
      <c r="U124" s="164">
        <v>74.5</v>
      </c>
      <c r="V124" s="164">
        <v>0</v>
      </c>
      <c r="W124" s="164">
        <v>74.5</v>
      </c>
      <c r="X124" s="514"/>
      <c r="Y124" s="514"/>
      <c r="Z124" s="514"/>
      <c r="AA124" s="514"/>
      <c r="AB124" s="514"/>
      <c r="AC124" s="514"/>
      <c r="AD124" s="514"/>
      <c r="AE124" s="164"/>
      <c r="AF124" s="160"/>
      <c r="AG124" s="160">
        <f>+AG125</f>
        <v>0</v>
      </c>
      <c r="AH124" s="170">
        <f t="shared" si="2"/>
        <v>0</v>
      </c>
    </row>
    <row r="125" spans="1:34" ht="53.25" customHeight="1" x14ac:dyDescent="0.2">
      <c r="A125" s="141"/>
      <c r="B125" s="515" t="s">
        <v>49</v>
      </c>
      <c r="C125" s="515"/>
      <c r="D125" s="515"/>
      <c r="E125" s="515"/>
      <c r="F125" s="515"/>
      <c r="G125" s="515"/>
      <c r="H125" s="515"/>
      <c r="I125" s="515"/>
      <c r="J125" s="515"/>
      <c r="K125" s="515"/>
      <c r="L125" s="515"/>
      <c r="M125" s="515"/>
      <c r="N125" s="143">
        <v>804</v>
      </c>
      <c r="O125" s="144">
        <v>10</v>
      </c>
      <c r="P125" s="144">
        <v>3</v>
      </c>
      <c r="Q125" s="145" t="s">
        <v>478</v>
      </c>
      <c r="R125" s="146">
        <v>0</v>
      </c>
      <c r="S125" s="500"/>
      <c r="T125" s="500"/>
      <c r="U125" s="164">
        <v>74.5</v>
      </c>
      <c r="V125" s="164">
        <v>0</v>
      </c>
      <c r="W125" s="164">
        <v>74.5</v>
      </c>
      <c r="X125" s="514"/>
      <c r="Y125" s="514"/>
      <c r="Z125" s="514"/>
      <c r="AA125" s="514"/>
      <c r="AB125" s="514"/>
      <c r="AC125" s="514"/>
      <c r="AD125" s="514"/>
      <c r="AE125" s="164"/>
      <c r="AF125" s="160"/>
      <c r="AG125" s="160">
        <f>+AG126</f>
        <v>0</v>
      </c>
      <c r="AH125" s="170">
        <f t="shared" si="2"/>
        <v>0</v>
      </c>
    </row>
    <row r="126" spans="1:34" ht="12" customHeight="1" x14ac:dyDescent="0.2">
      <c r="A126" s="141"/>
      <c r="B126" s="515" t="s">
        <v>46</v>
      </c>
      <c r="C126" s="515"/>
      <c r="D126" s="515"/>
      <c r="E126" s="515"/>
      <c r="F126" s="515"/>
      <c r="G126" s="515"/>
      <c r="H126" s="515"/>
      <c r="I126" s="515"/>
      <c r="J126" s="515"/>
      <c r="K126" s="515"/>
      <c r="L126" s="515"/>
      <c r="M126" s="515"/>
      <c r="N126" s="143">
        <v>804</v>
      </c>
      <c r="O126" s="144">
        <v>10</v>
      </c>
      <c r="P126" s="144">
        <v>3</v>
      </c>
      <c r="Q126" s="145" t="s">
        <v>478</v>
      </c>
      <c r="R126" s="146" t="s">
        <v>43</v>
      </c>
      <c r="S126" s="500"/>
      <c r="T126" s="500"/>
      <c r="U126" s="164">
        <v>74.5</v>
      </c>
      <c r="V126" s="164">
        <v>0</v>
      </c>
      <c r="W126" s="164">
        <v>74.5</v>
      </c>
      <c r="X126" s="514"/>
      <c r="Y126" s="514"/>
      <c r="Z126" s="514"/>
      <c r="AA126" s="514"/>
      <c r="AB126" s="514"/>
      <c r="AC126" s="514"/>
      <c r="AD126" s="514"/>
      <c r="AE126" s="164"/>
      <c r="AF126" s="160"/>
      <c r="AG126" s="160">
        <f>+AG127</f>
        <v>0</v>
      </c>
      <c r="AH126" s="170">
        <f t="shared" si="2"/>
        <v>0</v>
      </c>
    </row>
    <row r="127" spans="1:34" ht="12" customHeight="1" x14ac:dyDescent="0.2">
      <c r="A127" s="141"/>
      <c r="B127" s="515" t="s">
        <v>47</v>
      </c>
      <c r="C127" s="515"/>
      <c r="D127" s="515"/>
      <c r="E127" s="515"/>
      <c r="F127" s="515"/>
      <c r="G127" s="515"/>
      <c r="H127" s="515"/>
      <c r="I127" s="515"/>
      <c r="J127" s="515"/>
      <c r="K127" s="515"/>
      <c r="L127" s="515"/>
      <c r="M127" s="515"/>
      <c r="N127" s="143">
        <v>804</v>
      </c>
      <c r="O127" s="144">
        <v>10</v>
      </c>
      <c r="P127" s="144">
        <v>3</v>
      </c>
      <c r="Q127" s="145" t="s">
        <v>478</v>
      </c>
      <c r="R127" s="146" t="s">
        <v>44</v>
      </c>
      <c r="S127" s="500"/>
      <c r="T127" s="500"/>
      <c r="U127" s="164">
        <v>74.5</v>
      </c>
      <c r="V127" s="164">
        <v>0</v>
      </c>
      <c r="W127" s="164">
        <v>74.5</v>
      </c>
      <c r="X127" s="514"/>
      <c r="Y127" s="514"/>
      <c r="Z127" s="514"/>
      <c r="AA127" s="514"/>
      <c r="AB127" s="514"/>
      <c r="AC127" s="514"/>
      <c r="AD127" s="514"/>
      <c r="AE127" s="164"/>
      <c r="AF127" s="160"/>
      <c r="AG127" s="160">
        <f>+AG128</f>
        <v>0</v>
      </c>
      <c r="AH127" s="170">
        <f t="shared" si="2"/>
        <v>0</v>
      </c>
    </row>
    <row r="128" spans="1:34" ht="21.75" customHeight="1" x14ac:dyDescent="0.2">
      <c r="A128" s="141"/>
      <c r="B128" s="515" t="s">
        <v>476</v>
      </c>
      <c r="C128" s="515"/>
      <c r="D128" s="515"/>
      <c r="E128" s="515"/>
      <c r="F128" s="515"/>
      <c r="G128" s="515"/>
      <c r="H128" s="515"/>
      <c r="I128" s="515"/>
      <c r="J128" s="515"/>
      <c r="K128" s="515"/>
      <c r="L128" s="515"/>
      <c r="M128" s="515"/>
      <c r="N128" s="143">
        <v>804</v>
      </c>
      <c r="O128" s="144">
        <v>10</v>
      </c>
      <c r="P128" s="144">
        <v>3</v>
      </c>
      <c r="Q128" s="145" t="s">
        <v>478</v>
      </c>
      <c r="R128" s="146" t="s">
        <v>48</v>
      </c>
      <c r="S128" s="500"/>
      <c r="T128" s="500"/>
      <c r="U128" s="164">
        <v>74.5</v>
      </c>
      <c r="V128" s="164">
        <v>0</v>
      </c>
      <c r="W128" s="164">
        <v>74.5</v>
      </c>
      <c r="X128" s="514"/>
      <c r="Y128" s="514"/>
      <c r="Z128" s="514"/>
      <c r="AA128" s="514"/>
      <c r="AB128" s="514"/>
      <c r="AC128" s="514"/>
      <c r="AD128" s="514"/>
      <c r="AE128" s="164"/>
      <c r="AF128" s="160"/>
      <c r="AG128" s="160"/>
      <c r="AH128" s="170">
        <f t="shared" si="2"/>
        <v>0</v>
      </c>
    </row>
    <row r="129" spans="1:34" ht="21.75" customHeight="1" x14ac:dyDescent="0.2">
      <c r="A129" s="141"/>
      <c r="B129" s="515" t="s">
        <v>155</v>
      </c>
      <c r="C129" s="515"/>
      <c r="D129" s="515"/>
      <c r="E129" s="515"/>
      <c r="F129" s="515"/>
      <c r="G129" s="515"/>
      <c r="H129" s="515"/>
      <c r="I129" s="515"/>
      <c r="J129" s="515"/>
      <c r="K129" s="515"/>
      <c r="L129" s="515"/>
      <c r="M129" s="515"/>
      <c r="N129" s="143">
        <v>804</v>
      </c>
      <c r="O129" s="144">
        <v>10</v>
      </c>
      <c r="P129" s="144">
        <v>3</v>
      </c>
      <c r="Q129" s="145" t="s">
        <v>473</v>
      </c>
      <c r="R129" s="146">
        <v>0</v>
      </c>
      <c r="S129" s="500"/>
      <c r="T129" s="500"/>
      <c r="U129" s="164">
        <v>106</v>
      </c>
      <c r="V129" s="164">
        <v>0</v>
      </c>
      <c r="W129" s="164">
        <v>106</v>
      </c>
      <c r="X129" s="514"/>
      <c r="Y129" s="514"/>
      <c r="Z129" s="514"/>
      <c r="AA129" s="514"/>
      <c r="AB129" s="514"/>
      <c r="AC129" s="514"/>
      <c r="AD129" s="514"/>
      <c r="AE129" s="164"/>
      <c r="AF129" s="160"/>
      <c r="AG129" s="160">
        <f>+AG130</f>
        <v>16.763819999999999</v>
      </c>
      <c r="AH129" s="170">
        <f t="shared" si="2"/>
        <v>15.814924528301885</v>
      </c>
    </row>
    <row r="130" spans="1:34" ht="21.75" customHeight="1" x14ac:dyDescent="0.2">
      <c r="A130" s="141"/>
      <c r="B130" s="515" t="s">
        <v>42</v>
      </c>
      <c r="C130" s="515"/>
      <c r="D130" s="515"/>
      <c r="E130" s="515"/>
      <c r="F130" s="515"/>
      <c r="G130" s="515"/>
      <c r="H130" s="515"/>
      <c r="I130" s="515"/>
      <c r="J130" s="515"/>
      <c r="K130" s="515"/>
      <c r="L130" s="515"/>
      <c r="M130" s="515"/>
      <c r="N130" s="143">
        <v>804</v>
      </c>
      <c r="O130" s="144">
        <v>10</v>
      </c>
      <c r="P130" s="144">
        <v>3</v>
      </c>
      <c r="Q130" s="145" t="s">
        <v>474</v>
      </c>
      <c r="R130" s="146">
        <v>0</v>
      </c>
      <c r="S130" s="500"/>
      <c r="T130" s="500"/>
      <c r="U130" s="164">
        <v>106</v>
      </c>
      <c r="V130" s="164">
        <v>0</v>
      </c>
      <c r="W130" s="164">
        <v>106</v>
      </c>
      <c r="X130" s="514"/>
      <c r="Y130" s="514"/>
      <c r="Z130" s="514"/>
      <c r="AA130" s="514"/>
      <c r="AB130" s="514"/>
      <c r="AC130" s="514"/>
      <c r="AD130" s="514"/>
      <c r="AE130" s="164"/>
      <c r="AF130" s="160"/>
      <c r="AG130" s="160">
        <f>+AG131</f>
        <v>16.763819999999999</v>
      </c>
      <c r="AH130" s="170">
        <f t="shared" si="2"/>
        <v>15.814924528301885</v>
      </c>
    </row>
    <row r="131" spans="1:34" ht="21.75" customHeight="1" x14ac:dyDescent="0.2">
      <c r="A131" s="141"/>
      <c r="B131" s="515" t="s">
        <v>50</v>
      </c>
      <c r="C131" s="515"/>
      <c r="D131" s="515"/>
      <c r="E131" s="515"/>
      <c r="F131" s="515"/>
      <c r="G131" s="515"/>
      <c r="H131" s="515"/>
      <c r="I131" s="515"/>
      <c r="J131" s="515"/>
      <c r="K131" s="515"/>
      <c r="L131" s="515"/>
      <c r="M131" s="515"/>
      <c r="N131" s="143">
        <v>804</v>
      </c>
      <c r="O131" s="144">
        <v>10</v>
      </c>
      <c r="P131" s="144">
        <v>3</v>
      </c>
      <c r="Q131" s="145" t="s">
        <v>479</v>
      </c>
      <c r="R131" s="146">
        <v>0</v>
      </c>
      <c r="S131" s="500"/>
      <c r="T131" s="500"/>
      <c r="U131" s="164">
        <v>106</v>
      </c>
      <c r="V131" s="164">
        <v>0</v>
      </c>
      <c r="W131" s="164">
        <v>106</v>
      </c>
      <c r="X131" s="514"/>
      <c r="Y131" s="514"/>
      <c r="Z131" s="514"/>
      <c r="AA131" s="514"/>
      <c r="AB131" s="514"/>
      <c r="AC131" s="514"/>
      <c r="AD131" s="514"/>
      <c r="AE131" s="164"/>
      <c r="AF131" s="160"/>
      <c r="AG131" s="160">
        <f>+AG132</f>
        <v>16.763819999999999</v>
      </c>
      <c r="AH131" s="170">
        <f t="shared" si="2"/>
        <v>15.814924528301885</v>
      </c>
    </row>
    <row r="132" spans="1:34" ht="12" customHeight="1" x14ac:dyDescent="0.2">
      <c r="A132" s="141"/>
      <c r="B132" s="515" t="s">
        <v>46</v>
      </c>
      <c r="C132" s="515"/>
      <c r="D132" s="515"/>
      <c r="E132" s="515"/>
      <c r="F132" s="515"/>
      <c r="G132" s="515"/>
      <c r="H132" s="515"/>
      <c r="I132" s="515"/>
      <c r="J132" s="515"/>
      <c r="K132" s="515"/>
      <c r="L132" s="515"/>
      <c r="M132" s="515"/>
      <c r="N132" s="143">
        <v>804</v>
      </c>
      <c r="O132" s="144">
        <v>10</v>
      </c>
      <c r="P132" s="144">
        <v>3</v>
      </c>
      <c r="Q132" s="145" t="s">
        <v>479</v>
      </c>
      <c r="R132" s="146" t="s">
        <v>43</v>
      </c>
      <c r="S132" s="500"/>
      <c r="T132" s="500"/>
      <c r="U132" s="164">
        <v>106</v>
      </c>
      <c r="V132" s="164">
        <v>0</v>
      </c>
      <c r="W132" s="164">
        <v>106</v>
      </c>
      <c r="X132" s="514"/>
      <c r="Y132" s="514"/>
      <c r="Z132" s="514"/>
      <c r="AA132" s="514"/>
      <c r="AB132" s="514"/>
      <c r="AC132" s="514"/>
      <c r="AD132" s="514"/>
      <c r="AE132" s="164"/>
      <c r="AF132" s="160"/>
      <c r="AG132" s="160">
        <f>+AG133</f>
        <v>16.763819999999999</v>
      </c>
      <c r="AH132" s="170">
        <f t="shared" si="2"/>
        <v>15.814924528301885</v>
      </c>
    </row>
    <row r="133" spans="1:34" ht="12" customHeight="1" x14ac:dyDescent="0.2">
      <c r="A133" s="141"/>
      <c r="B133" s="515" t="s">
        <v>47</v>
      </c>
      <c r="C133" s="515"/>
      <c r="D133" s="515"/>
      <c r="E133" s="515"/>
      <c r="F133" s="515"/>
      <c r="G133" s="515"/>
      <c r="H133" s="515"/>
      <c r="I133" s="515"/>
      <c r="J133" s="515"/>
      <c r="K133" s="515"/>
      <c r="L133" s="515"/>
      <c r="M133" s="515"/>
      <c r="N133" s="143">
        <v>804</v>
      </c>
      <c r="O133" s="144">
        <v>10</v>
      </c>
      <c r="P133" s="144">
        <v>3</v>
      </c>
      <c r="Q133" s="145" t="s">
        <v>479</v>
      </c>
      <c r="R133" s="146" t="s">
        <v>44</v>
      </c>
      <c r="S133" s="500"/>
      <c r="T133" s="500"/>
      <c r="U133" s="164">
        <v>106</v>
      </c>
      <c r="V133" s="164">
        <v>0</v>
      </c>
      <c r="W133" s="164">
        <v>106</v>
      </c>
      <c r="X133" s="514"/>
      <c r="Y133" s="514"/>
      <c r="Z133" s="514"/>
      <c r="AA133" s="514"/>
      <c r="AB133" s="514"/>
      <c r="AC133" s="514"/>
      <c r="AD133" s="514"/>
      <c r="AE133" s="164"/>
      <c r="AF133" s="160"/>
      <c r="AG133" s="160">
        <f>+AG134</f>
        <v>16.763819999999999</v>
      </c>
      <c r="AH133" s="170">
        <f t="shared" si="2"/>
        <v>15.814924528301885</v>
      </c>
    </row>
    <row r="134" spans="1:34" ht="21.75" customHeight="1" x14ac:dyDescent="0.2">
      <c r="A134" s="141"/>
      <c r="B134" s="515" t="s">
        <v>476</v>
      </c>
      <c r="C134" s="515"/>
      <c r="D134" s="515"/>
      <c r="E134" s="515"/>
      <c r="F134" s="515"/>
      <c r="G134" s="515"/>
      <c r="H134" s="515"/>
      <c r="I134" s="515"/>
      <c r="J134" s="515"/>
      <c r="K134" s="515"/>
      <c r="L134" s="515"/>
      <c r="M134" s="515"/>
      <c r="N134" s="143">
        <v>804</v>
      </c>
      <c r="O134" s="144">
        <v>10</v>
      </c>
      <c r="P134" s="144">
        <v>3</v>
      </c>
      <c r="Q134" s="145" t="s">
        <v>479</v>
      </c>
      <c r="R134" s="146" t="s">
        <v>48</v>
      </c>
      <c r="S134" s="500"/>
      <c r="T134" s="500"/>
      <c r="U134" s="164">
        <v>106</v>
      </c>
      <c r="V134" s="164">
        <v>0</v>
      </c>
      <c r="W134" s="164">
        <v>106</v>
      </c>
      <c r="X134" s="514"/>
      <c r="Y134" s="514"/>
      <c r="Z134" s="514"/>
      <c r="AA134" s="514"/>
      <c r="AB134" s="514"/>
      <c r="AC134" s="514"/>
      <c r="AD134" s="514"/>
      <c r="AE134" s="164"/>
      <c r="AF134" s="160"/>
      <c r="AG134" s="160">
        <v>16.763819999999999</v>
      </c>
      <c r="AH134" s="170">
        <f t="shared" si="2"/>
        <v>15.814924528301885</v>
      </c>
    </row>
    <row r="135" spans="1:34" ht="21.75" customHeight="1" x14ac:dyDescent="0.2">
      <c r="A135" s="141"/>
      <c r="B135" s="515" t="s">
        <v>155</v>
      </c>
      <c r="C135" s="515"/>
      <c r="D135" s="515"/>
      <c r="E135" s="515"/>
      <c r="F135" s="515"/>
      <c r="G135" s="515"/>
      <c r="H135" s="515"/>
      <c r="I135" s="515"/>
      <c r="J135" s="515"/>
      <c r="K135" s="515"/>
      <c r="L135" s="515"/>
      <c r="M135" s="515"/>
      <c r="N135" s="143">
        <v>804</v>
      </c>
      <c r="O135" s="144">
        <v>10</v>
      </c>
      <c r="P135" s="144">
        <v>3</v>
      </c>
      <c r="Q135" s="145" t="s">
        <v>473</v>
      </c>
      <c r="R135" s="146">
        <v>0</v>
      </c>
      <c r="S135" s="500"/>
      <c r="T135" s="500"/>
      <c r="U135" s="164">
        <v>175</v>
      </c>
      <c r="V135" s="164">
        <v>0</v>
      </c>
      <c r="W135" s="164">
        <v>175</v>
      </c>
      <c r="X135" s="514"/>
      <c r="Y135" s="514"/>
      <c r="Z135" s="514"/>
      <c r="AA135" s="514"/>
      <c r="AB135" s="514"/>
      <c r="AC135" s="514"/>
      <c r="AD135" s="514"/>
      <c r="AE135" s="164"/>
      <c r="AF135" s="160"/>
      <c r="AG135" s="160">
        <f>+AG136</f>
        <v>33</v>
      </c>
      <c r="AH135" s="170">
        <f t="shared" si="2"/>
        <v>18.857142857142858</v>
      </c>
    </row>
    <row r="136" spans="1:34" ht="21.75" customHeight="1" x14ac:dyDescent="0.2">
      <c r="A136" s="141"/>
      <c r="B136" s="515" t="s">
        <v>42</v>
      </c>
      <c r="C136" s="515"/>
      <c r="D136" s="515"/>
      <c r="E136" s="515"/>
      <c r="F136" s="515"/>
      <c r="G136" s="515"/>
      <c r="H136" s="515"/>
      <c r="I136" s="515"/>
      <c r="J136" s="515"/>
      <c r="K136" s="515"/>
      <c r="L136" s="515"/>
      <c r="M136" s="515"/>
      <c r="N136" s="143">
        <v>804</v>
      </c>
      <c r="O136" s="144">
        <v>10</v>
      </c>
      <c r="P136" s="144">
        <v>3</v>
      </c>
      <c r="Q136" s="145" t="s">
        <v>474</v>
      </c>
      <c r="R136" s="146">
        <v>0</v>
      </c>
      <c r="S136" s="500"/>
      <c r="T136" s="500"/>
      <c r="U136" s="164">
        <v>175</v>
      </c>
      <c r="V136" s="164">
        <v>0</v>
      </c>
      <c r="W136" s="164">
        <v>175</v>
      </c>
      <c r="X136" s="514"/>
      <c r="Y136" s="514"/>
      <c r="Z136" s="514"/>
      <c r="AA136" s="514"/>
      <c r="AB136" s="514"/>
      <c r="AC136" s="514"/>
      <c r="AD136" s="514"/>
      <c r="AE136" s="164"/>
      <c r="AF136" s="160"/>
      <c r="AG136" s="160">
        <f>+AG137</f>
        <v>33</v>
      </c>
      <c r="AH136" s="170">
        <f t="shared" si="2"/>
        <v>18.857142857142858</v>
      </c>
    </row>
    <row r="137" spans="1:34" ht="21.75" customHeight="1" x14ac:dyDescent="0.2">
      <c r="A137" s="141"/>
      <c r="B137" s="515" t="s">
        <v>51</v>
      </c>
      <c r="C137" s="515"/>
      <c r="D137" s="515"/>
      <c r="E137" s="515"/>
      <c r="F137" s="515"/>
      <c r="G137" s="515"/>
      <c r="H137" s="515"/>
      <c r="I137" s="515"/>
      <c r="J137" s="515"/>
      <c r="K137" s="515"/>
      <c r="L137" s="515"/>
      <c r="M137" s="515"/>
      <c r="N137" s="143">
        <v>804</v>
      </c>
      <c r="O137" s="144">
        <v>10</v>
      </c>
      <c r="P137" s="144">
        <v>3</v>
      </c>
      <c r="Q137" s="145" t="s">
        <v>480</v>
      </c>
      <c r="R137" s="146">
        <v>0</v>
      </c>
      <c r="S137" s="500"/>
      <c r="T137" s="500"/>
      <c r="U137" s="164">
        <v>175</v>
      </c>
      <c r="V137" s="164">
        <v>0</v>
      </c>
      <c r="W137" s="164">
        <v>175</v>
      </c>
      <c r="X137" s="514"/>
      <c r="Y137" s="514"/>
      <c r="Z137" s="514"/>
      <c r="AA137" s="514"/>
      <c r="AB137" s="514"/>
      <c r="AC137" s="514"/>
      <c r="AD137" s="514"/>
      <c r="AE137" s="164"/>
      <c r="AF137" s="160"/>
      <c r="AG137" s="160">
        <f>+AG138</f>
        <v>33</v>
      </c>
      <c r="AH137" s="170">
        <f t="shared" si="2"/>
        <v>18.857142857142858</v>
      </c>
    </row>
    <row r="138" spans="1:34" ht="21.75" customHeight="1" x14ac:dyDescent="0.2">
      <c r="A138" s="141"/>
      <c r="B138" s="515" t="s">
        <v>345</v>
      </c>
      <c r="C138" s="515"/>
      <c r="D138" s="515"/>
      <c r="E138" s="515"/>
      <c r="F138" s="515"/>
      <c r="G138" s="515"/>
      <c r="H138" s="515"/>
      <c r="I138" s="515"/>
      <c r="J138" s="515"/>
      <c r="K138" s="515"/>
      <c r="L138" s="515"/>
      <c r="M138" s="515"/>
      <c r="N138" s="143">
        <v>804</v>
      </c>
      <c r="O138" s="144">
        <v>10</v>
      </c>
      <c r="P138" s="144">
        <v>3</v>
      </c>
      <c r="Q138" s="145" t="s">
        <v>480</v>
      </c>
      <c r="R138" s="146" t="s">
        <v>24</v>
      </c>
      <c r="S138" s="500"/>
      <c r="T138" s="500"/>
      <c r="U138" s="164">
        <v>175</v>
      </c>
      <c r="V138" s="164">
        <v>0</v>
      </c>
      <c r="W138" s="164">
        <v>175</v>
      </c>
      <c r="X138" s="514"/>
      <c r="Y138" s="514"/>
      <c r="Z138" s="514"/>
      <c r="AA138" s="514"/>
      <c r="AB138" s="514"/>
      <c r="AC138" s="514"/>
      <c r="AD138" s="514"/>
      <c r="AE138" s="164"/>
      <c r="AF138" s="160"/>
      <c r="AG138" s="160">
        <f>+AG139</f>
        <v>33</v>
      </c>
      <c r="AH138" s="170">
        <f t="shared" si="2"/>
        <v>18.857142857142858</v>
      </c>
    </row>
    <row r="139" spans="1:34" ht="21.75" customHeight="1" x14ac:dyDescent="0.2">
      <c r="A139" s="141"/>
      <c r="B139" s="515" t="s">
        <v>346</v>
      </c>
      <c r="C139" s="515"/>
      <c r="D139" s="515"/>
      <c r="E139" s="515"/>
      <c r="F139" s="515"/>
      <c r="G139" s="515"/>
      <c r="H139" s="515"/>
      <c r="I139" s="515"/>
      <c r="J139" s="515"/>
      <c r="K139" s="515"/>
      <c r="L139" s="515"/>
      <c r="M139" s="515"/>
      <c r="N139" s="143">
        <v>804</v>
      </c>
      <c r="O139" s="144">
        <v>10</v>
      </c>
      <c r="P139" s="144">
        <v>3</v>
      </c>
      <c r="Q139" s="145" t="s">
        <v>480</v>
      </c>
      <c r="R139" s="146" t="s">
        <v>26</v>
      </c>
      <c r="S139" s="500"/>
      <c r="T139" s="500"/>
      <c r="U139" s="164">
        <v>175</v>
      </c>
      <c r="V139" s="164">
        <v>0</v>
      </c>
      <c r="W139" s="164">
        <v>175</v>
      </c>
      <c r="X139" s="514"/>
      <c r="Y139" s="514"/>
      <c r="Z139" s="514"/>
      <c r="AA139" s="514"/>
      <c r="AB139" s="514"/>
      <c r="AC139" s="514"/>
      <c r="AD139" s="514"/>
      <c r="AE139" s="164"/>
      <c r="AF139" s="160"/>
      <c r="AG139" s="160">
        <f>+AG140</f>
        <v>33</v>
      </c>
      <c r="AH139" s="170">
        <f t="shared" si="2"/>
        <v>18.857142857142858</v>
      </c>
    </row>
    <row r="140" spans="1:34" ht="12" customHeight="1" x14ac:dyDescent="0.2">
      <c r="A140" s="141"/>
      <c r="B140" s="515" t="s">
        <v>348</v>
      </c>
      <c r="C140" s="515"/>
      <c r="D140" s="515"/>
      <c r="E140" s="515"/>
      <c r="F140" s="515"/>
      <c r="G140" s="515"/>
      <c r="H140" s="515"/>
      <c r="I140" s="515"/>
      <c r="J140" s="515"/>
      <c r="K140" s="515"/>
      <c r="L140" s="515"/>
      <c r="M140" s="515"/>
      <c r="N140" s="143">
        <v>804</v>
      </c>
      <c r="O140" s="144">
        <v>10</v>
      </c>
      <c r="P140" s="144">
        <v>3</v>
      </c>
      <c r="Q140" s="145" t="s">
        <v>480</v>
      </c>
      <c r="R140" s="146" t="s">
        <v>28</v>
      </c>
      <c r="S140" s="500"/>
      <c r="T140" s="500"/>
      <c r="U140" s="164">
        <v>175</v>
      </c>
      <c r="V140" s="164">
        <v>0</v>
      </c>
      <c r="W140" s="164">
        <v>175</v>
      </c>
      <c r="X140" s="514"/>
      <c r="Y140" s="514"/>
      <c r="Z140" s="514"/>
      <c r="AA140" s="514"/>
      <c r="AB140" s="514"/>
      <c r="AC140" s="514"/>
      <c r="AD140" s="514"/>
      <c r="AE140" s="164"/>
      <c r="AF140" s="160"/>
      <c r="AG140" s="160">
        <v>33</v>
      </c>
      <c r="AH140" s="170">
        <f t="shared" si="2"/>
        <v>18.857142857142858</v>
      </c>
    </row>
    <row r="141" spans="1:34" ht="21.75" customHeight="1" x14ac:dyDescent="0.2">
      <c r="A141" s="141"/>
      <c r="B141" s="515" t="s">
        <v>155</v>
      </c>
      <c r="C141" s="515"/>
      <c r="D141" s="515"/>
      <c r="E141" s="515"/>
      <c r="F141" s="515"/>
      <c r="G141" s="515"/>
      <c r="H141" s="515"/>
      <c r="I141" s="515"/>
      <c r="J141" s="515"/>
      <c r="K141" s="515"/>
      <c r="L141" s="515"/>
      <c r="M141" s="515"/>
      <c r="N141" s="143">
        <v>804</v>
      </c>
      <c r="O141" s="144">
        <v>10</v>
      </c>
      <c r="P141" s="144">
        <v>3</v>
      </c>
      <c r="Q141" s="145" t="s">
        <v>473</v>
      </c>
      <c r="R141" s="146">
        <v>0</v>
      </c>
      <c r="S141" s="500"/>
      <c r="T141" s="500"/>
      <c r="U141" s="164">
        <v>4386</v>
      </c>
      <c r="V141" s="164">
        <v>0</v>
      </c>
      <c r="W141" s="164">
        <v>4386</v>
      </c>
      <c r="X141" s="514"/>
      <c r="Y141" s="514"/>
      <c r="Z141" s="514"/>
      <c r="AA141" s="514"/>
      <c r="AB141" s="514"/>
      <c r="AC141" s="514"/>
      <c r="AD141" s="514"/>
      <c r="AE141" s="164"/>
      <c r="AF141" s="160"/>
      <c r="AG141" s="160">
        <f>+AG142</f>
        <v>1127.2629999999999</v>
      </c>
      <c r="AH141" s="170">
        <f t="shared" si="2"/>
        <v>25.701390788873685</v>
      </c>
    </row>
    <row r="142" spans="1:34" ht="12" customHeight="1" x14ac:dyDescent="0.2">
      <c r="A142" s="141"/>
      <c r="B142" s="515" t="s">
        <v>53</v>
      </c>
      <c r="C142" s="515"/>
      <c r="D142" s="515"/>
      <c r="E142" s="515"/>
      <c r="F142" s="515"/>
      <c r="G142" s="515"/>
      <c r="H142" s="515"/>
      <c r="I142" s="515"/>
      <c r="J142" s="515"/>
      <c r="K142" s="515"/>
      <c r="L142" s="515"/>
      <c r="M142" s="515"/>
      <c r="N142" s="143">
        <v>804</v>
      </c>
      <c r="O142" s="144">
        <v>10</v>
      </c>
      <c r="P142" s="144">
        <v>3</v>
      </c>
      <c r="Q142" s="145" t="s">
        <v>481</v>
      </c>
      <c r="R142" s="146">
        <v>0</v>
      </c>
      <c r="S142" s="500"/>
      <c r="T142" s="500"/>
      <c r="U142" s="164">
        <v>4386</v>
      </c>
      <c r="V142" s="164">
        <v>0</v>
      </c>
      <c r="W142" s="164">
        <v>4386</v>
      </c>
      <c r="X142" s="514"/>
      <c r="Y142" s="514"/>
      <c r="Z142" s="514"/>
      <c r="AA142" s="514"/>
      <c r="AB142" s="514"/>
      <c r="AC142" s="514"/>
      <c r="AD142" s="514"/>
      <c r="AE142" s="164"/>
      <c r="AF142" s="160"/>
      <c r="AG142" s="160">
        <f>+AG143</f>
        <v>1127.2629999999999</v>
      </c>
      <c r="AH142" s="170">
        <f t="shared" si="2"/>
        <v>25.701390788873685</v>
      </c>
    </row>
    <row r="143" spans="1:34" ht="12" customHeight="1" x14ac:dyDescent="0.2">
      <c r="A143" s="141"/>
      <c r="B143" s="515" t="s">
        <v>54</v>
      </c>
      <c r="C143" s="515"/>
      <c r="D143" s="515"/>
      <c r="E143" s="515"/>
      <c r="F143" s="515"/>
      <c r="G143" s="515"/>
      <c r="H143" s="515"/>
      <c r="I143" s="515"/>
      <c r="J143" s="515"/>
      <c r="K143" s="515"/>
      <c r="L143" s="515"/>
      <c r="M143" s="515"/>
      <c r="N143" s="143">
        <v>804</v>
      </c>
      <c r="O143" s="144">
        <v>10</v>
      </c>
      <c r="P143" s="144">
        <v>3</v>
      </c>
      <c r="Q143" s="145" t="s">
        <v>482</v>
      </c>
      <c r="R143" s="146">
        <v>0</v>
      </c>
      <c r="S143" s="500"/>
      <c r="T143" s="500"/>
      <c r="U143" s="164">
        <v>4386</v>
      </c>
      <c r="V143" s="164">
        <v>0</v>
      </c>
      <c r="W143" s="164">
        <v>4386</v>
      </c>
      <c r="X143" s="514"/>
      <c r="Y143" s="514"/>
      <c r="Z143" s="514"/>
      <c r="AA143" s="514"/>
      <c r="AB143" s="514"/>
      <c r="AC143" s="514"/>
      <c r="AD143" s="514"/>
      <c r="AE143" s="164"/>
      <c r="AF143" s="160"/>
      <c r="AG143" s="160">
        <f>+AG144+AG147</f>
        <v>1127.2629999999999</v>
      </c>
      <c r="AH143" s="170">
        <f t="shared" si="2"/>
        <v>25.701390788873685</v>
      </c>
    </row>
    <row r="144" spans="1:34" ht="21.75" customHeight="1" x14ac:dyDescent="0.2">
      <c r="A144" s="141"/>
      <c r="B144" s="515" t="s">
        <v>345</v>
      </c>
      <c r="C144" s="515"/>
      <c r="D144" s="515"/>
      <c r="E144" s="515"/>
      <c r="F144" s="515"/>
      <c r="G144" s="515"/>
      <c r="H144" s="515"/>
      <c r="I144" s="515"/>
      <c r="J144" s="515"/>
      <c r="K144" s="515"/>
      <c r="L144" s="515"/>
      <c r="M144" s="515"/>
      <c r="N144" s="143">
        <v>804</v>
      </c>
      <c r="O144" s="144">
        <v>10</v>
      </c>
      <c r="P144" s="144">
        <v>3</v>
      </c>
      <c r="Q144" s="145" t="s">
        <v>482</v>
      </c>
      <c r="R144" s="146" t="s">
        <v>24</v>
      </c>
      <c r="S144" s="500"/>
      <c r="T144" s="500"/>
      <c r="U144" s="164">
        <v>3.8</v>
      </c>
      <c r="V144" s="164">
        <v>0</v>
      </c>
      <c r="W144" s="164">
        <v>3.8</v>
      </c>
      <c r="X144" s="514"/>
      <c r="Y144" s="514"/>
      <c r="Z144" s="514"/>
      <c r="AA144" s="514"/>
      <c r="AB144" s="514"/>
      <c r="AC144" s="514"/>
      <c r="AD144" s="514"/>
      <c r="AE144" s="164"/>
      <c r="AF144" s="160"/>
      <c r="AG144" s="160">
        <f>+AG145</f>
        <v>0.223</v>
      </c>
      <c r="AH144" s="170">
        <f t="shared" si="2"/>
        <v>5.8684210526315788</v>
      </c>
    </row>
    <row r="145" spans="1:34" ht="21.75" customHeight="1" x14ac:dyDescent="0.2">
      <c r="A145" s="141"/>
      <c r="B145" s="515" t="s">
        <v>346</v>
      </c>
      <c r="C145" s="515"/>
      <c r="D145" s="515"/>
      <c r="E145" s="515"/>
      <c r="F145" s="515"/>
      <c r="G145" s="515"/>
      <c r="H145" s="515"/>
      <c r="I145" s="515"/>
      <c r="J145" s="515"/>
      <c r="K145" s="515"/>
      <c r="L145" s="515"/>
      <c r="M145" s="515"/>
      <c r="N145" s="143">
        <v>804</v>
      </c>
      <c r="O145" s="144">
        <v>10</v>
      </c>
      <c r="P145" s="144">
        <v>3</v>
      </c>
      <c r="Q145" s="145" t="s">
        <v>482</v>
      </c>
      <c r="R145" s="146" t="s">
        <v>26</v>
      </c>
      <c r="S145" s="500"/>
      <c r="T145" s="500"/>
      <c r="U145" s="164">
        <v>3.8</v>
      </c>
      <c r="V145" s="164">
        <v>0</v>
      </c>
      <c r="W145" s="164">
        <v>3.8</v>
      </c>
      <c r="X145" s="514"/>
      <c r="Y145" s="514"/>
      <c r="Z145" s="514"/>
      <c r="AA145" s="514"/>
      <c r="AB145" s="514"/>
      <c r="AC145" s="514"/>
      <c r="AD145" s="514"/>
      <c r="AE145" s="164"/>
      <c r="AF145" s="160"/>
      <c r="AG145" s="160">
        <f>+AG146</f>
        <v>0.223</v>
      </c>
      <c r="AH145" s="170">
        <f t="shared" si="2"/>
        <v>5.8684210526315788</v>
      </c>
    </row>
    <row r="146" spans="1:34" ht="12" customHeight="1" x14ac:dyDescent="0.2">
      <c r="A146" s="141"/>
      <c r="B146" s="515" t="s">
        <v>348</v>
      </c>
      <c r="C146" s="515"/>
      <c r="D146" s="515"/>
      <c r="E146" s="515"/>
      <c r="F146" s="515"/>
      <c r="G146" s="515"/>
      <c r="H146" s="515"/>
      <c r="I146" s="515"/>
      <c r="J146" s="515"/>
      <c r="K146" s="515"/>
      <c r="L146" s="515"/>
      <c r="M146" s="515"/>
      <c r="N146" s="143">
        <v>804</v>
      </c>
      <c r="O146" s="144">
        <v>10</v>
      </c>
      <c r="P146" s="144">
        <v>3</v>
      </c>
      <c r="Q146" s="145" t="s">
        <v>482</v>
      </c>
      <c r="R146" s="146" t="s">
        <v>28</v>
      </c>
      <c r="S146" s="500"/>
      <c r="T146" s="500"/>
      <c r="U146" s="164">
        <v>3.8</v>
      </c>
      <c r="V146" s="164">
        <v>0</v>
      </c>
      <c r="W146" s="164">
        <v>3.8</v>
      </c>
      <c r="X146" s="514"/>
      <c r="Y146" s="514"/>
      <c r="Z146" s="514"/>
      <c r="AA146" s="514"/>
      <c r="AB146" s="514"/>
      <c r="AC146" s="514"/>
      <c r="AD146" s="514"/>
      <c r="AE146" s="164"/>
      <c r="AF146" s="160"/>
      <c r="AG146" s="160">
        <v>0.223</v>
      </c>
      <c r="AH146" s="170">
        <f t="shared" si="2"/>
        <v>5.8684210526315788</v>
      </c>
    </row>
    <row r="147" spans="1:34" ht="12" customHeight="1" x14ac:dyDescent="0.2">
      <c r="A147" s="141"/>
      <c r="B147" s="515" t="s">
        <v>46</v>
      </c>
      <c r="C147" s="515"/>
      <c r="D147" s="515"/>
      <c r="E147" s="515"/>
      <c r="F147" s="515"/>
      <c r="G147" s="515"/>
      <c r="H147" s="515"/>
      <c r="I147" s="515"/>
      <c r="J147" s="515"/>
      <c r="K147" s="515"/>
      <c r="L147" s="515"/>
      <c r="M147" s="515"/>
      <c r="N147" s="143">
        <v>804</v>
      </c>
      <c r="O147" s="144">
        <v>10</v>
      </c>
      <c r="P147" s="144">
        <v>3</v>
      </c>
      <c r="Q147" s="145" t="s">
        <v>482</v>
      </c>
      <c r="R147" s="146" t="s">
        <v>43</v>
      </c>
      <c r="S147" s="500"/>
      <c r="T147" s="500"/>
      <c r="U147" s="164">
        <v>4382.2</v>
      </c>
      <c r="V147" s="164">
        <v>0</v>
      </c>
      <c r="W147" s="164">
        <v>4382.2</v>
      </c>
      <c r="X147" s="514"/>
      <c r="Y147" s="514"/>
      <c r="Z147" s="514"/>
      <c r="AA147" s="514"/>
      <c r="AB147" s="514"/>
      <c r="AC147" s="514"/>
      <c r="AD147" s="514"/>
      <c r="AE147" s="164"/>
      <c r="AF147" s="160"/>
      <c r="AG147" s="160">
        <f>+AG148</f>
        <v>1127.04</v>
      </c>
      <c r="AH147" s="170">
        <f t="shared" ref="AH147:AH214" si="3">AG147/U147*100</f>
        <v>25.718588836657386</v>
      </c>
    </row>
    <row r="148" spans="1:34" ht="12" customHeight="1" x14ac:dyDescent="0.2">
      <c r="A148" s="141"/>
      <c r="B148" s="515" t="s">
        <v>47</v>
      </c>
      <c r="C148" s="515"/>
      <c r="D148" s="515"/>
      <c r="E148" s="515"/>
      <c r="F148" s="515"/>
      <c r="G148" s="515"/>
      <c r="H148" s="515"/>
      <c r="I148" s="515"/>
      <c r="J148" s="515"/>
      <c r="K148" s="515"/>
      <c r="L148" s="515"/>
      <c r="M148" s="515"/>
      <c r="N148" s="143">
        <v>804</v>
      </c>
      <c r="O148" s="144">
        <v>10</v>
      </c>
      <c r="P148" s="144">
        <v>3</v>
      </c>
      <c r="Q148" s="145" t="s">
        <v>482</v>
      </c>
      <c r="R148" s="146" t="s">
        <v>44</v>
      </c>
      <c r="S148" s="500"/>
      <c r="T148" s="500"/>
      <c r="U148" s="164">
        <v>4382.2</v>
      </c>
      <c r="V148" s="164">
        <v>0</v>
      </c>
      <c r="W148" s="164">
        <v>4382.2</v>
      </c>
      <c r="X148" s="514"/>
      <c r="Y148" s="514"/>
      <c r="Z148" s="514"/>
      <c r="AA148" s="514"/>
      <c r="AB148" s="514"/>
      <c r="AC148" s="514"/>
      <c r="AD148" s="514"/>
      <c r="AE148" s="164"/>
      <c r="AF148" s="160"/>
      <c r="AG148" s="160">
        <f>+AG149</f>
        <v>1127.04</v>
      </c>
      <c r="AH148" s="170">
        <f t="shared" si="3"/>
        <v>25.718588836657386</v>
      </c>
    </row>
    <row r="149" spans="1:34" ht="21.75" customHeight="1" x14ac:dyDescent="0.2">
      <c r="A149" s="141"/>
      <c r="B149" s="515" t="s">
        <v>476</v>
      </c>
      <c r="C149" s="515"/>
      <c r="D149" s="515"/>
      <c r="E149" s="515"/>
      <c r="F149" s="515"/>
      <c r="G149" s="515"/>
      <c r="H149" s="515"/>
      <c r="I149" s="515"/>
      <c r="J149" s="515"/>
      <c r="K149" s="515"/>
      <c r="L149" s="515"/>
      <c r="M149" s="515"/>
      <c r="N149" s="143">
        <v>804</v>
      </c>
      <c r="O149" s="144">
        <v>10</v>
      </c>
      <c r="P149" s="144">
        <v>3</v>
      </c>
      <c r="Q149" s="145" t="s">
        <v>482</v>
      </c>
      <c r="R149" s="146" t="s">
        <v>48</v>
      </c>
      <c r="S149" s="500"/>
      <c r="T149" s="500"/>
      <c r="U149" s="164">
        <v>4382.2</v>
      </c>
      <c r="V149" s="164">
        <v>0</v>
      </c>
      <c r="W149" s="164">
        <v>4382.2</v>
      </c>
      <c r="X149" s="514"/>
      <c r="Y149" s="514"/>
      <c r="Z149" s="514"/>
      <c r="AA149" s="514"/>
      <c r="AB149" s="514"/>
      <c r="AC149" s="514"/>
      <c r="AD149" s="514"/>
      <c r="AE149" s="164"/>
      <c r="AF149" s="160"/>
      <c r="AG149" s="160">
        <v>1127.04</v>
      </c>
      <c r="AH149" s="170">
        <f t="shared" si="3"/>
        <v>25.718588836657386</v>
      </c>
    </row>
    <row r="150" spans="1:34" ht="21.75" customHeight="1" x14ac:dyDescent="0.2">
      <c r="A150" s="141"/>
      <c r="B150" s="515" t="s">
        <v>155</v>
      </c>
      <c r="C150" s="515"/>
      <c r="D150" s="515"/>
      <c r="E150" s="515"/>
      <c r="F150" s="515"/>
      <c r="G150" s="515"/>
      <c r="H150" s="515"/>
      <c r="I150" s="515"/>
      <c r="J150" s="515"/>
      <c r="K150" s="515"/>
      <c r="L150" s="515"/>
      <c r="M150" s="515"/>
      <c r="N150" s="143">
        <v>804</v>
      </c>
      <c r="O150" s="144">
        <v>10</v>
      </c>
      <c r="P150" s="144">
        <v>3</v>
      </c>
      <c r="Q150" s="145" t="s">
        <v>473</v>
      </c>
      <c r="R150" s="146">
        <v>0</v>
      </c>
      <c r="S150" s="500"/>
      <c r="T150" s="500"/>
      <c r="U150" s="164">
        <v>3055</v>
      </c>
      <c r="V150" s="164">
        <v>0</v>
      </c>
      <c r="W150" s="164">
        <v>3055</v>
      </c>
      <c r="X150" s="514"/>
      <c r="Y150" s="514"/>
      <c r="Z150" s="514"/>
      <c r="AA150" s="514"/>
      <c r="AB150" s="514"/>
      <c r="AC150" s="514"/>
      <c r="AD150" s="514"/>
      <c r="AE150" s="164"/>
      <c r="AF150" s="160"/>
      <c r="AG150" s="160">
        <f>+AG151</f>
        <v>1536.45</v>
      </c>
      <c r="AH150" s="170">
        <f t="shared" si="3"/>
        <v>50.292962356792145</v>
      </c>
    </row>
    <row r="151" spans="1:34" ht="32.25" customHeight="1" x14ac:dyDescent="0.2">
      <c r="A151" s="141"/>
      <c r="B151" s="515" t="s">
        <v>55</v>
      </c>
      <c r="C151" s="515"/>
      <c r="D151" s="515"/>
      <c r="E151" s="515"/>
      <c r="F151" s="515"/>
      <c r="G151" s="515"/>
      <c r="H151" s="515"/>
      <c r="I151" s="515"/>
      <c r="J151" s="515"/>
      <c r="K151" s="515"/>
      <c r="L151" s="515"/>
      <c r="M151" s="515"/>
      <c r="N151" s="143">
        <v>804</v>
      </c>
      <c r="O151" s="144">
        <v>10</v>
      </c>
      <c r="P151" s="144">
        <v>3</v>
      </c>
      <c r="Q151" s="145" t="s">
        <v>485</v>
      </c>
      <c r="R151" s="146">
        <v>0</v>
      </c>
      <c r="S151" s="500"/>
      <c r="T151" s="500"/>
      <c r="U151" s="164">
        <v>3055</v>
      </c>
      <c r="V151" s="164">
        <v>0</v>
      </c>
      <c r="W151" s="164">
        <v>3055</v>
      </c>
      <c r="X151" s="514"/>
      <c r="Y151" s="514"/>
      <c r="Z151" s="514"/>
      <c r="AA151" s="514"/>
      <c r="AB151" s="514"/>
      <c r="AC151" s="514"/>
      <c r="AD151" s="514"/>
      <c r="AE151" s="164"/>
      <c r="AF151" s="160"/>
      <c r="AG151" s="160">
        <f>+AG152</f>
        <v>1536.45</v>
      </c>
      <c r="AH151" s="170">
        <f t="shared" si="3"/>
        <v>50.292962356792145</v>
      </c>
    </row>
    <row r="152" spans="1:34" ht="21.75" customHeight="1" x14ac:dyDescent="0.2">
      <c r="A152" s="141"/>
      <c r="B152" s="515" t="s">
        <v>486</v>
      </c>
      <c r="C152" s="515"/>
      <c r="D152" s="515"/>
      <c r="E152" s="515"/>
      <c r="F152" s="515"/>
      <c r="G152" s="515"/>
      <c r="H152" s="515"/>
      <c r="I152" s="515"/>
      <c r="J152" s="515"/>
      <c r="K152" s="515"/>
      <c r="L152" s="515"/>
      <c r="M152" s="515"/>
      <c r="N152" s="143">
        <v>804</v>
      </c>
      <c r="O152" s="144">
        <v>10</v>
      </c>
      <c r="P152" s="144">
        <v>3</v>
      </c>
      <c r="Q152" s="145" t="s">
        <v>487</v>
      </c>
      <c r="R152" s="146">
        <v>0</v>
      </c>
      <c r="S152" s="500"/>
      <c r="T152" s="500"/>
      <c r="U152" s="164">
        <v>3055</v>
      </c>
      <c r="V152" s="164">
        <v>0</v>
      </c>
      <c r="W152" s="164">
        <v>3055</v>
      </c>
      <c r="X152" s="514"/>
      <c r="Y152" s="514"/>
      <c r="Z152" s="514"/>
      <c r="AA152" s="514"/>
      <c r="AB152" s="514"/>
      <c r="AC152" s="514"/>
      <c r="AD152" s="514"/>
      <c r="AE152" s="164"/>
      <c r="AF152" s="160"/>
      <c r="AG152" s="160">
        <f>+AG153+AG156</f>
        <v>1536.45</v>
      </c>
      <c r="AH152" s="170">
        <f t="shared" si="3"/>
        <v>50.292962356792145</v>
      </c>
    </row>
    <row r="153" spans="1:34" ht="21.75" customHeight="1" x14ac:dyDescent="0.2">
      <c r="A153" s="141"/>
      <c r="B153" s="515" t="s">
        <v>345</v>
      </c>
      <c r="C153" s="515"/>
      <c r="D153" s="515"/>
      <c r="E153" s="515"/>
      <c r="F153" s="515"/>
      <c r="G153" s="515"/>
      <c r="H153" s="515"/>
      <c r="I153" s="515"/>
      <c r="J153" s="515"/>
      <c r="K153" s="515"/>
      <c r="L153" s="515"/>
      <c r="M153" s="515"/>
      <c r="N153" s="143">
        <v>804</v>
      </c>
      <c r="O153" s="144">
        <v>10</v>
      </c>
      <c r="P153" s="144">
        <v>3</v>
      </c>
      <c r="Q153" s="145" t="s">
        <v>487</v>
      </c>
      <c r="R153" s="146" t="s">
        <v>24</v>
      </c>
      <c r="S153" s="500"/>
      <c r="T153" s="500"/>
      <c r="U153" s="164">
        <v>15.2</v>
      </c>
      <c r="V153" s="164">
        <v>0</v>
      </c>
      <c r="W153" s="164">
        <v>15.2</v>
      </c>
      <c r="X153" s="514"/>
      <c r="Y153" s="514"/>
      <c r="Z153" s="514"/>
      <c r="AA153" s="514"/>
      <c r="AB153" s="514"/>
      <c r="AC153" s="514"/>
      <c r="AD153" s="514"/>
      <c r="AE153" s="164"/>
      <c r="AF153" s="160"/>
      <c r="AG153" s="160">
        <f>+AG154</f>
        <v>3.6116799999999998</v>
      </c>
      <c r="AH153" s="170">
        <f t="shared" si="3"/>
        <v>23.761052631578945</v>
      </c>
    </row>
    <row r="154" spans="1:34" ht="21.75" customHeight="1" x14ac:dyDescent="0.2">
      <c r="A154" s="141"/>
      <c r="B154" s="515" t="s">
        <v>346</v>
      </c>
      <c r="C154" s="515"/>
      <c r="D154" s="515"/>
      <c r="E154" s="515"/>
      <c r="F154" s="515"/>
      <c r="G154" s="515"/>
      <c r="H154" s="515"/>
      <c r="I154" s="515"/>
      <c r="J154" s="515"/>
      <c r="K154" s="515"/>
      <c r="L154" s="515"/>
      <c r="M154" s="515"/>
      <c r="N154" s="143">
        <v>804</v>
      </c>
      <c r="O154" s="144">
        <v>10</v>
      </c>
      <c r="P154" s="144">
        <v>3</v>
      </c>
      <c r="Q154" s="145" t="s">
        <v>487</v>
      </c>
      <c r="R154" s="146" t="s">
        <v>26</v>
      </c>
      <c r="S154" s="500"/>
      <c r="T154" s="500"/>
      <c r="U154" s="164">
        <v>15.2</v>
      </c>
      <c r="V154" s="164">
        <v>0</v>
      </c>
      <c r="W154" s="164">
        <v>15.2</v>
      </c>
      <c r="X154" s="514"/>
      <c r="Y154" s="514"/>
      <c r="Z154" s="514"/>
      <c r="AA154" s="514"/>
      <c r="AB154" s="514"/>
      <c r="AC154" s="514"/>
      <c r="AD154" s="514"/>
      <c r="AE154" s="164"/>
      <c r="AF154" s="160"/>
      <c r="AG154" s="160">
        <f>+AG155</f>
        <v>3.6116799999999998</v>
      </c>
      <c r="AH154" s="170">
        <f t="shared" si="3"/>
        <v>23.761052631578945</v>
      </c>
    </row>
    <row r="155" spans="1:34" ht="12" customHeight="1" x14ac:dyDescent="0.2">
      <c r="A155" s="141"/>
      <c r="B155" s="515" t="s">
        <v>348</v>
      </c>
      <c r="C155" s="515"/>
      <c r="D155" s="515"/>
      <c r="E155" s="515"/>
      <c r="F155" s="515"/>
      <c r="G155" s="515"/>
      <c r="H155" s="515"/>
      <c r="I155" s="515"/>
      <c r="J155" s="515"/>
      <c r="K155" s="515"/>
      <c r="L155" s="515"/>
      <c r="M155" s="515"/>
      <c r="N155" s="143">
        <v>804</v>
      </c>
      <c r="O155" s="144">
        <v>10</v>
      </c>
      <c r="P155" s="144">
        <v>3</v>
      </c>
      <c r="Q155" s="145" t="s">
        <v>487</v>
      </c>
      <c r="R155" s="146" t="s">
        <v>28</v>
      </c>
      <c r="S155" s="500"/>
      <c r="T155" s="500"/>
      <c r="U155" s="164">
        <v>15.2</v>
      </c>
      <c r="V155" s="164">
        <v>0</v>
      </c>
      <c r="W155" s="164">
        <v>15.2</v>
      </c>
      <c r="X155" s="514"/>
      <c r="Y155" s="514"/>
      <c r="Z155" s="514"/>
      <c r="AA155" s="514"/>
      <c r="AB155" s="514"/>
      <c r="AC155" s="514"/>
      <c r="AD155" s="514"/>
      <c r="AE155" s="164"/>
      <c r="AF155" s="160"/>
      <c r="AG155" s="160">
        <v>3.6116799999999998</v>
      </c>
      <c r="AH155" s="170">
        <f t="shared" si="3"/>
        <v>23.761052631578945</v>
      </c>
    </row>
    <row r="156" spans="1:34" ht="12" customHeight="1" x14ac:dyDescent="0.2">
      <c r="A156" s="141"/>
      <c r="B156" s="515" t="s">
        <v>46</v>
      </c>
      <c r="C156" s="515"/>
      <c r="D156" s="515"/>
      <c r="E156" s="515"/>
      <c r="F156" s="515"/>
      <c r="G156" s="515"/>
      <c r="H156" s="515"/>
      <c r="I156" s="515"/>
      <c r="J156" s="515"/>
      <c r="K156" s="515"/>
      <c r="L156" s="515"/>
      <c r="M156" s="515"/>
      <c r="N156" s="143">
        <v>804</v>
      </c>
      <c r="O156" s="144">
        <v>10</v>
      </c>
      <c r="P156" s="144">
        <v>3</v>
      </c>
      <c r="Q156" s="145" t="s">
        <v>487</v>
      </c>
      <c r="R156" s="146" t="s">
        <v>43</v>
      </c>
      <c r="S156" s="500"/>
      <c r="T156" s="500"/>
      <c r="U156" s="164">
        <v>3039.8</v>
      </c>
      <c r="V156" s="164">
        <v>0</v>
      </c>
      <c r="W156" s="164">
        <v>3039.8</v>
      </c>
      <c r="X156" s="514"/>
      <c r="Y156" s="514"/>
      <c r="Z156" s="514"/>
      <c r="AA156" s="514"/>
      <c r="AB156" s="514"/>
      <c r="AC156" s="514"/>
      <c r="AD156" s="514"/>
      <c r="AE156" s="164"/>
      <c r="AF156" s="160"/>
      <c r="AG156" s="160">
        <f>+AG157</f>
        <v>1532.8383200000001</v>
      </c>
      <c r="AH156" s="170">
        <f t="shared" si="3"/>
        <v>50.425630633594309</v>
      </c>
    </row>
    <row r="157" spans="1:34" ht="21.75" customHeight="1" x14ac:dyDescent="0.2">
      <c r="A157" s="141"/>
      <c r="B157" s="515" t="s">
        <v>492</v>
      </c>
      <c r="C157" s="515"/>
      <c r="D157" s="515"/>
      <c r="E157" s="515"/>
      <c r="F157" s="515"/>
      <c r="G157" s="515"/>
      <c r="H157" s="515"/>
      <c r="I157" s="515"/>
      <c r="J157" s="515"/>
      <c r="K157" s="515"/>
      <c r="L157" s="515"/>
      <c r="M157" s="515"/>
      <c r="N157" s="143">
        <v>804</v>
      </c>
      <c r="O157" s="144">
        <v>10</v>
      </c>
      <c r="P157" s="144">
        <v>3</v>
      </c>
      <c r="Q157" s="145" t="s">
        <v>487</v>
      </c>
      <c r="R157" s="146" t="s">
        <v>493</v>
      </c>
      <c r="S157" s="500"/>
      <c r="T157" s="500"/>
      <c r="U157" s="164">
        <v>3039.8</v>
      </c>
      <c r="V157" s="164">
        <v>0</v>
      </c>
      <c r="W157" s="164">
        <v>3039.8</v>
      </c>
      <c r="X157" s="514"/>
      <c r="Y157" s="514"/>
      <c r="Z157" s="514"/>
      <c r="AA157" s="514"/>
      <c r="AB157" s="514"/>
      <c r="AC157" s="514"/>
      <c r="AD157" s="514"/>
      <c r="AE157" s="164"/>
      <c r="AF157" s="160"/>
      <c r="AG157" s="160">
        <f>+AG158</f>
        <v>1532.8383200000001</v>
      </c>
      <c r="AH157" s="170">
        <f t="shared" si="3"/>
        <v>50.425630633594309</v>
      </c>
    </row>
    <row r="158" spans="1:34" ht="21.75" customHeight="1" x14ac:dyDescent="0.2">
      <c r="A158" s="141"/>
      <c r="B158" s="515" t="s">
        <v>569</v>
      </c>
      <c r="C158" s="515"/>
      <c r="D158" s="515"/>
      <c r="E158" s="515"/>
      <c r="F158" s="515"/>
      <c r="G158" s="515"/>
      <c r="H158" s="515"/>
      <c r="I158" s="515"/>
      <c r="J158" s="515"/>
      <c r="K158" s="515"/>
      <c r="L158" s="515"/>
      <c r="M158" s="515"/>
      <c r="N158" s="143">
        <v>804</v>
      </c>
      <c r="O158" s="144">
        <v>10</v>
      </c>
      <c r="P158" s="144">
        <v>3</v>
      </c>
      <c r="Q158" s="145" t="s">
        <v>487</v>
      </c>
      <c r="R158" s="146" t="s">
        <v>570</v>
      </c>
      <c r="S158" s="500"/>
      <c r="T158" s="500"/>
      <c r="U158" s="164">
        <v>3039.8</v>
      </c>
      <c r="V158" s="164">
        <v>0</v>
      </c>
      <c r="W158" s="164">
        <v>3039.8</v>
      </c>
      <c r="X158" s="514"/>
      <c r="Y158" s="514"/>
      <c r="Z158" s="514"/>
      <c r="AA158" s="514"/>
      <c r="AB158" s="514"/>
      <c r="AC158" s="514"/>
      <c r="AD158" s="514"/>
      <c r="AE158" s="164"/>
      <c r="AF158" s="160"/>
      <c r="AG158" s="160">
        <v>1532.8383200000001</v>
      </c>
      <c r="AH158" s="170">
        <f t="shared" si="3"/>
        <v>50.425630633594309</v>
      </c>
    </row>
    <row r="159" spans="1:34" ht="21.75" customHeight="1" x14ac:dyDescent="0.2">
      <c r="A159" s="141"/>
      <c r="B159" s="515" t="s">
        <v>155</v>
      </c>
      <c r="C159" s="515"/>
      <c r="D159" s="515"/>
      <c r="E159" s="515"/>
      <c r="F159" s="515"/>
      <c r="G159" s="515"/>
      <c r="H159" s="515"/>
      <c r="I159" s="515"/>
      <c r="J159" s="515"/>
      <c r="K159" s="515"/>
      <c r="L159" s="515"/>
      <c r="M159" s="515"/>
      <c r="N159" s="143">
        <v>804</v>
      </c>
      <c r="O159" s="144">
        <v>10</v>
      </c>
      <c r="P159" s="144">
        <v>3</v>
      </c>
      <c r="Q159" s="145" t="s">
        <v>473</v>
      </c>
      <c r="R159" s="146">
        <v>0</v>
      </c>
      <c r="S159" s="500"/>
      <c r="T159" s="500"/>
      <c r="U159" s="164">
        <v>3480</v>
      </c>
      <c r="V159" s="164">
        <v>0</v>
      </c>
      <c r="W159" s="164">
        <v>3480</v>
      </c>
      <c r="X159" s="514"/>
      <c r="Y159" s="514"/>
      <c r="Z159" s="514"/>
      <c r="AA159" s="514"/>
      <c r="AB159" s="514"/>
      <c r="AC159" s="514"/>
      <c r="AD159" s="514"/>
      <c r="AE159" s="164"/>
      <c r="AF159" s="160"/>
      <c r="AG159" s="160">
        <f>+AG160</f>
        <v>550</v>
      </c>
      <c r="AH159" s="170">
        <f t="shared" si="3"/>
        <v>15.804597701149426</v>
      </c>
    </row>
    <row r="160" spans="1:34" ht="32.25" customHeight="1" x14ac:dyDescent="0.2">
      <c r="A160" s="141"/>
      <c r="B160" s="515" t="s">
        <v>55</v>
      </c>
      <c r="C160" s="515"/>
      <c r="D160" s="515"/>
      <c r="E160" s="515"/>
      <c r="F160" s="515"/>
      <c r="G160" s="515"/>
      <c r="H160" s="515"/>
      <c r="I160" s="515"/>
      <c r="J160" s="515"/>
      <c r="K160" s="515"/>
      <c r="L160" s="515"/>
      <c r="M160" s="515"/>
      <c r="N160" s="143">
        <v>804</v>
      </c>
      <c r="O160" s="144">
        <v>10</v>
      </c>
      <c r="P160" s="144">
        <v>3</v>
      </c>
      <c r="Q160" s="145" t="s">
        <v>485</v>
      </c>
      <c r="R160" s="146">
        <v>0</v>
      </c>
      <c r="S160" s="500"/>
      <c r="T160" s="500"/>
      <c r="U160" s="164">
        <v>3480</v>
      </c>
      <c r="V160" s="164">
        <v>0</v>
      </c>
      <c r="W160" s="164">
        <v>3480</v>
      </c>
      <c r="X160" s="514"/>
      <c r="Y160" s="514"/>
      <c r="Z160" s="514"/>
      <c r="AA160" s="514"/>
      <c r="AB160" s="514"/>
      <c r="AC160" s="514"/>
      <c r="AD160" s="514"/>
      <c r="AE160" s="164"/>
      <c r="AF160" s="160"/>
      <c r="AG160" s="160">
        <f>+AG161</f>
        <v>550</v>
      </c>
      <c r="AH160" s="170">
        <f t="shared" si="3"/>
        <v>15.804597701149426</v>
      </c>
    </row>
    <row r="161" spans="1:34" ht="21.75" customHeight="1" x14ac:dyDescent="0.2">
      <c r="A161" s="141"/>
      <c r="B161" s="515" t="s">
        <v>56</v>
      </c>
      <c r="C161" s="515"/>
      <c r="D161" s="515"/>
      <c r="E161" s="515"/>
      <c r="F161" s="515"/>
      <c r="G161" s="515"/>
      <c r="H161" s="515"/>
      <c r="I161" s="515"/>
      <c r="J161" s="515"/>
      <c r="K161" s="515"/>
      <c r="L161" s="515"/>
      <c r="M161" s="515"/>
      <c r="N161" s="143">
        <v>804</v>
      </c>
      <c r="O161" s="144">
        <v>10</v>
      </c>
      <c r="P161" s="144">
        <v>3</v>
      </c>
      <c r="Q161" s="145" t="s">
        <v>488</v>
      </c>
      <c r="R161" s="146">
        <v>0</v>
      </c>
      <c r="S161" s="500"/>
      <c r="T161" s="500"/>
      <c r="U161" s="164">
        <v>3480</v>
      </c>
      <c r="V161" s="164">
        <v>0</v>
      </c>
      <c r="W161" s="164">
        <v>3480</v>
      </c>
      <c r="X161" s="514"/>
      <c r="Y161" s="514"/>
      <c r="Z161" s="514"/>
      <c r="AA161" s="514"/>
      <c r="AB161" s="514"/>
      <c r="AC161" s="514"/>
      <c r="AD161" s="514"/>
      <c r="AE161" s="164"/>
      <c r="AF161" s="160"/>
      <c r="AG161" s="160">
        <f>+AG162+AG165</f>
        <v>550</v>
      </c>
      <c r="AH161" s="170">
        <f t="shared" si="3"/>
        <v>15.804597701149426</v>
      </c>
    </row>
    <row r="162" spans="1:34" ht="21.75" customHeight="1" x14ac:dyDescent="0.2">
      <c r="A162" s="141"/>
      <c r="B162" s="515" t="s">
        <v>345</v>
      </c>
      <c r="C162" s="515"/>
      <c r="D162" s="515"/>
      <c r="E162" s="515"/>
      <c r="F162" s="515"/>
      <c r="G162" s="515"/>
      <c r="H162" s="515"/>
      <c r="I162" s="515"/>
      <c r="J162" s="515"/>
      <c r="K162" s="515"/>
      <c r="L162" s="515"/>
      <c r="M162" s="515"/>
      <c r="N162" s="143">
        <v>804</v>
      </c>
      <c r="O162" s="144">
        <v>10</v>
      </c>
      <c r="P162" s="144">
        <v>3</v>
      </c>
      <c r="Q162" s="145" t="s">
        <v>488</v>
      </c>
      <c r="R162" s="146" t="s">
        <v>24</v>
      </c>
      <c r="S162" s="500"/>
      <c r="T162" s="500"/>
      <c r="U162" s="164">
        <v>15.7</v>
      </c>
      <c r="V162" s="164">
        <v>0</v>
      </c>
      <c r="W162" s="164">
        <v>15.7</v>
      </c>
      <c r="X162" s="514"/>
      <c r="Y162" s="514"/>
      <c r="Z162" s="514"/>
      <c r="AA162" s="514"/>
      <c r="AB162" s="514"/>
      <c r="AC162" s="514"/>
      <c r="AD162" s="514"/>
      <c r="AE162" s="164"/>
      <c r="AF162" s="160"/>
      <c r="AG162" s="160">
        <f>+AG163</f>
        <v>8.32151</v>
      </c>
      <c r="AH162" s="170">
        <f t="shared" si="3"/>
        <v>53.003248407643312</v>
      </c>
    </row>
    <row r="163" spans="1:34" ht="21.75" customHeight="1" x14ac:dyDescent="0.2">
      <c r="A163" s="141"/>
      <c r="B163" s="515" t="s">
        <v>346</v>
      </c>
      <c r="C163" s="515"/>
      <c r="D163" s="515"/>
      <c r="E163" s="515"/>
      <c r="F163" s="515"/>
      <c r="G163" s="515"/>
      <c r="H163" s="515"/>
      <c r="I163" s="515"/>
      <c r="J163" s="515"/>
      <c r="K163" s="515"/>
      <c r="L163" s="515"/>
      <c r="M163" s="515"/>
      <c r="N163" s="143">
        <v>804</v>
      </c>
      <c r="O163" s="144">
        <v>10</v>
      </c>
      <c r="P163" s="144">
        <v>3</v>
      </c>
      <c r="Q163" s="145" t="s">
        <v>488</v>
      </c>
      <c r="R163" s="146" t="s">
        <v>26</v>
      </c>
      <c r="S163" s="500"/>
      <c r="T163" s="500"/>
      <c r="U163" s="164">
        <v>15.7</v>
      </c>
      <c r="V163" s="164">
        <v>0</v>
      </c>
      <c r="W163" s="164">
        <v>15.7</v>
      </c>
      <c r="X163" s="514"/>
      <c r="Y163" s="514"/>
      <c r="Z163" s="514"/>
      <c r="AA163" s="514"/>
      <c r="AB163" s="514"/>
      <c r="AC163" s="514"/>
      <c r="AD163" s="514"/>
      <c r="AE163" s="164"/>
      <c r="AF163" s="160"/>
      <c r="AG163" s="160">
        <f>+AG164</f>
        <v>8.32151</v>
      </c>
      <c r="AH163" s="170">
        <f t="shared" si="3"/>
        <v>53.003248407643312</v>
      </c>
    </row>
    <row r="164" spans="1:34" ht="12" customHeight="1" x14ac:dyDescent="0.2">
      <c r="A164" s="141"/>
      <c r="B164" s="515" t="s">
        <v>348</v>
      </c>
      <c r="C164" s="515"/>
      <c r="D164" s="515"/>
      <c r="E164" s="515"/>
      <c r="F164" s="515"/>
      <c r="G164" s="515"/>
      <c r="H164" s="515"/>
      <c r="I164" s="515"/>
      <c r="J164" s="515"/>
      <c r="K164" s="515"/>
      <c r="L164" s="515"/>
      <c r="M164" s="515"/>
      <c r="N164" s="143">
        <v>804</v>
      </c>
      <c r="O164" s="144">
        <v>10</v>
      </c>
      <c r="P164" s="144">
        <v>3</v>
      </c>
      <c r="Q164" s="145" t="s">
        <v>488</v>
      </c>
      <c r="R164" s="146" t="s">
        <v>28</v>
      </c>
      <c r="S164" s="500"/>
      <c r="T164" s="500"/>
      <c r="U164" s="164">
        <v>15.7</v>
      </c>
      <c r="V164" s="164">
        <v>0</v>
      </c>
      <c r="W164" s="164">
        <v>15.7</v>
      </c>
      <c r="X164" s="514"/>
      <c r="Y164" s="514"/>
      <c r="Z164" s="514"/>
      <c r="AA164" s="514"/>
      <c r="AB164" s="514"/>
      <c r="AC164" s="514"/>
      <c r="AD164" s="514"/>
      <c r="AE164" s="164"/>
      <c r="AF164" s="160"/>
      <c r="AG164" s="160">
        <v>8.32151</v>
      </c>
      <c r="AH164" s="170">
        <f t="shared" si="3"/>
        <v>53.003248407643312</v>
      </c>
    </row>
    <row r="165" spans="1:34" ht="12" customHeight="1" x14ac:dyDescent="0.2">
      <c r="A165" s="141"/>
      <c r="B165" s="515" t="s">
        <v>46</v>
      </c>
      <c r="C165" s="515"/>
      <c r="D165" s="515"/>
      <c r="E165" s="515"/>
      <c r="F165" s="515"/>
      <c r="G165" s="515"/>
      <c r="H165" s="515"/>
      <c r="I165" s="515"/>
      <c r="J165" s="515"/>
      <c r="K165" s="515"/>
      <c r="L165" s="515"/>
      <c r="M165" s="515"/>
      <c r="N165" s="143">
        <v>804</v>
      </c>
      <c r="O165" s="144">
        <v>10</v>
      </c>
      <c r="P165" s="144">
        <v>3</v>
      </c>
      <c r="Q165" s="145" t="s">
        <v>488</v>
      </c>
      <c r="R165" s="146" t="s">
        <v>43</v>
      </c>
      <c r="S165" s="500"/>
      <c r="T165" s="500"/>
      <c r="U165" s="164">
        <v>3464.3</v>
      </c>
      <c r="V165" s="164">
        <v>0</v>
      </c>
      <c r="W165" s="164">
        <v>3464.3</v>
      </c>
      <c r="X165" s="514"/>
      <c r="Y165" s="514"/>
      <c r="Z165" s="514"/>
      <c r="AA165" s="514"/>
      <c r="AB165" s="514"/>
      <c r="AC165" s="514"/>
      <c r="AD165" s="514"/>
      <c r="AE165" s="164"/>
      <c r="AF165" s="160"/>
      <c r="AG165" s="160">
        <f>+AG166</f>
        <v>541.67849000000001</v>
      </c>
      <c r="AH165" s="170">
        <f t="shared" si="3"/>
        <v>15.636015645296307</v>
      </c>
    </row>
    <row r="166" spans="1:34" ht="21.75" customHeight="1" x14ac:dyDescent="0.2">
      <c r="A166" s="141"/>
      <c r="B166" s="515" t="s">
        <v>492</v>
      </c>
      <c r="C166" s="515"/>
      <c r="D166" s="515"/>
      <c r="E166" s="515"/>
      <c r="F166" s="515"/>
      <c r="G166" s="515"/>
      <c r="H166" s="515"/>
      <c r="I166" s="515"/>
      <c r="J166" s="515"/>
      <c r="K166" s="515"/>
      <c r="L166" s="515"/>
      <c r="M166" s="515"/>
      <c r="N166" s="143">
        <v>804</v>
      </c>
      <c r="O166" s="144">
        <v>10</v>
      </c>
      <c r="P166" s="144">
        <v>3</v>
      </c>
      <c r="Q166" s="145" t="s">
        <v>488</v>
      </c>
      <c r="R166" s="146" t="s">
        <v>493</v>
      </c>
      <c r="S166" s="500"/>
      <c r="T166" s="500"/>
      <c r="U166" s="164">
        <v>3464.3</v>
      </c>
      <c r="V166" s="164">
        <v>0</v>
      </c>
      <c r="W166" s="164">
        <v>3464.3</v>
      </c>
      <c r="X166" s="514"/>
      <c r="Y166" s="514"/>
      <c r="Z166" s="514"/>
      <c r="AA166" s="514"/>
      <c r="AB166" s="514"/>
      <c r="AC166" s="514"/>
      <c r="AD166" s="514"/>
      <c r="AE166" s="164"/>
      <c r="AF166" s="160"/>
      <c r="AG166" s="160">
        <f>+AG167</f>
        <v>541.67849000000001</v>
      </c>
      <c r="AH166" s="170">
        <f t="shared" si="3"/>
        <v>15.636015645296307</v>
      </c>
    </row>
    <row r="167" spans="1:34" ht="21.75" customHeight="1" x14ac:dyDescent="0.2">
      <c r="A167" s="141"/>
      <c r="B167" s="515" t="s">
        <v>569</v>
      </c>
      <c r="C167" s="515"/>
      <c r="D167" s="515"/>
      <c r="E167" s="515"/>
      <c r="F167" s="515"/>
      <c r="G167" s="515"/>
      <c r="H167" s="515"/>
      <c r="I167" s="515"/>
      <c r="J167" s="515"/>
      <c r="K167" s="515"/>
      <c r="L167" s="515"/>
      <c r="M167" s="515"/>
      <c r="N167" s="143">
        <v>804</v>
      </c>
      <c r="O167" s="144">
        <v>10</v>
      </c>
      <c r="P167" s="144">
        <v>3</v>
      </c>
      <c r="Q167" s="145" t="s">
        <v>488</v>
      </c>
      <c r="R167" s="146" t="s">
        <v>570</v>
      </c>
      <c r="S167" s="500"/>
      <c r="T167" s="500"/>
      <c r="U167" s="164">
        <v>3464.3</v>
      </c>
      <c r="V167" s="164">
        <v>0</v>
      </c>
      <c r="W167" s="164">
        <v>3464.3</v>
      </c>
      <c r="X167" s="514"/>
      <c r="Y167" s="514"/>
      <c r="Z167" s="514"/>
      <c r="AA167" s="514"/>
      <c r="AB167" s="514"/>
      <c r="AC167" s="514"/>
      <c r="AD167" s="514"/>
      <c r="AE167" s="164"/>
      <c r="AF167" s="160"/>
      <c r="AG167" s="160">
        <v>541.67849000000001</v>
      </c>
      <c r="AH167" s="170">
        <f t="shared" si="3"/>
        <v>15.636015645296307</v>
      </c>
    </row>
    <row r="168" spans="1:34" ht="12" customHeight="1" x14ac:dyDescent="0.2">
      <c r="A168" s="141"/>
      <c r="B168" s="515" t="s">
        <v>502</v>
      </c>
      <c r="C168" s="515"/>
      <c r="D168" s="515"/>
      <c r="E168" s="515"/>
      <c r="F168" s="515"/>
      <c r="G168" s="515"/>
      <c r="H168" s="515"/>
      <c r="I168" s="515"/>
      <c r="J168" s="515"/>
      <c r="K168" s="515"/>
      <c r="L168" s="515"/>
      <c r="M168" s="515"/>
      <c r="N168" s="143">
        <v>804</v>
      </c>
      <c r="O168" s="144">
        <v>10</v>
      </c>
      <c r="P168" s="144">
        <v>4</v>
      </c>
      <c r="Q168" s="145">
        <v>0</v>
      </c>
      <c r="R168" s="146">
        <v>0</v>
      </c>
      <c r="S168" s="500"/>
      <c r="T168" s="500"/>
      <c r="U168" s="164">
        <v>32910.9</v>
      </c>
      <c r="V168" s="164">
        <v>0</v>
      </c>
      <c r="W168" s="164">
        <v>32910.9</v>
      </c>
      <c r="X168" s="514"/>
      <c r="Y168" s="514"/>
      <c r="Z168" s="514"/>
      <c r="AA168" s="514"/>
      <c r="AB168" s="514"/>
      <c r="AC168" s="514"/>
      <c r="AD168" s="514"/>
      <c r="AE168" s="164"/>
      <c r="AF168" s="160"/>
      <c r="AG168" s="160">
        <f>+AG169+AG175+AG179</f>
        <v>7907.6746800000001</v>
      </c>
      <c r="AH168" s="170">
        <f t="shared" si="3"/>
        <v>24.027524862583522</v>
      </c>
    </row>
    <row r="169" spans="1:34" ht="21.75" customHeight="1" x14ac:dyDescent="0.2">
      <c r="A169" s="141"/>
      <c r="B169" s="515" t="s">
        <v>155</v>
      </c>
      <c r="C169" s="515"/>
      <c r="D169" s="515"/>
      <c r="E169" s="515"/>
      <c r="F169" s="515"/>
      <c r="G169" s="515"/>
      <c r="H169" s="515"/>
      <c r="I169" s="515"/>
      <c r="J169" s="515"/>
      <c r="K169" s="515"/>
      <c r="L169" s="515"/>
      <c r="M169" s="515"/>
      <c r="N169" s="143">
        <v>804</v>
      </c>
      <c r="O169" s="144">
        <v>10</v>
      </c>
      <c r="P169" s="144">
        <v>4</v>
      </c>
      <c r="Q169" s="145" t="s">
        <v>473</v>
      </c>
      <c r="R169" s="146">
        <v>0</v>
      </c>
      <c r="S169" s="500"/>
      <c r="T169" s="500"/>
      <c r="U169" s="164">
        <f>+U170</f>
        <v>0</v>
      </c>
      <c r="V169" s="164">
        <v>0</v>
      </c>
      <c r="W169" s="164">
        <v>20252.8</v>
      </c>
      <c r="X169" s="514"/>
      <c r="Y169" s="514"/>
      <c r="Z169" s="514"/>
      <c r="AA169" s="514"/>
      <c r="AB169" s="514"/>
      <c r="AC169" s="514"/>
      <c r="AD169" s="514"/>
      <c r="AE169" s="164"/>
      <c r="AF169" s="160"/>
      <c r="AG169" s="160">
        <f>+AG170</f>
        <v>184.80426</v>
      </c>
      <c r="AH169" s="170" t="e">
        <f t="shared" si="3"/>
        <v>#DIV/0!</v>
      </c>
    </row>
    <row r="170" spans="1:34" ht="12" customHeight="1" x14ac:dyDescent="0.2">
      <c r="A170" s="141"/>
      <c r="B170" s="515" t="s">
        <v>53</v>
      </c>
      <c r="C170" s="515"/>
      <c r="D170" s="515"/>
      <c r="E170" s="515"/>
      <c r="F170" s="515"/>
      <c r="G170" s="515"/>
      <c r="H170" s="515"/>
      <c r="I170" s="515"/>
      <c r="J170" s="515"/>
      <c r="K170" s="515"/>
      <c r="L170" s="515"/>
      <c r="M170" s="515"/>
      <c r="N170" s="143">
        <v>804</v>
      </c>
      <c r="O170" s="144">
        <v>10</v>
      </c>
      <c r="P170" s="144">
        <v>4</v>
      </c>
      <c r="Q170" s="145" t="s">
        <v>481</v>
      </c>
      <c r="R170" s="146">
        <v>0</v>
      </c>
      <c r="S170" s="500"/>
      <c r="T170" s="500"/>
      <c r="U170" s="164">
        <f>+U171</f>
        <v>0</v>
      </c>
      <c r="V170" s="164">
        <v>0</v>
      </c>
      <c r="W170" s="164">
        <v>20252.8</v>
      </c>
      <c r="X170" s="514"/>
      <c r="Y170" s="514"/>
      <c r="Z170" s="514"/>
      <c r="AA170" s="514"/>
      <c r="AB170" s="514"/>
      <c r="AC170" s="514"/>
      <c r="AD170" s="514"/>
      <c r="AE170" s="164"/>
      <c r="AF170" s="160"/>
      <c r="AG170" s="160">
        <f>+AG171</f>
        <v>184.80426</v>
      </c>
      <c r="AH170" s="170" t="e">
        <f t="shared" si="3"/>
        <v>#DIV/0!</v>
      </c>
    </row>
    <row r="171" spans="1:34" ht="68.25" customHeight="1" x14ac:dyDescent="0.2">
      <c r="A171" s="141"/>
      <c r="B171" s="515" t="s">
        <v>596</v>
      </c>
      <c r="C171" s="515"/>
      <c r="D171" s="515"/>
      <c r="E171" s="515"/>
      <c r="F171" s="515"/>
      <c r="G171" s="515"/>
      <c r="H171" s="515"/>
      <c r="I171" s="515"/>
      <c r="J171" s="515"/>
      <c r="K171" s="515"/>
      <c r="L171" s="515"/>
      <c r="M171" s="515"/>
      <c r="N171" s="143">
        <v>804</v>
      </c>
      <c r="O171" s="144">
        <v>10</v>
      </c>
      <c r="P171" s="144">
        <v>4</v>
      </c>
      <c r="Q171" s="272" t="s">
        <v>600</v>
      </c>
      <c r="R171" s="146">
        <v>0</v>
      </c>
      <c r="S171" s="500"/>
      <c r="T171" s="500"/>
      <c r="U171" s="164">
        <f>+U172</f>
        <v>0</v>
      </c>
      <c r="V171" s="164">
        <v>0</v>
      </c>
      <c r="W171" s="164">
        <v>20252.8</v>
      </c>
      <c r="X171" s="514"/>
      <c r="Y171" s="514"/>
      <c r="Z171" s="514"/>
      <c r="AA171" s="514"/>
      <c r="AB171" s="514"/>
      <c r="AC171" s="514"/>
      <c r="AD171" s="514"/>
      <c r="AE171" s="164"/>
      <c r="AF171" s="160"/>
      <c r="AG171" s="160">
        <f>+AG172</f>
        <v>184.80426</v>
      </c>
      <c r="AH171" s="170" t="e">
        <f t="shared" ref="AH171:AH174" si="4">AG171/U171*100</f>
        <v>#DIV/0!</v>
      </c>
    </row>
    <row r="172" spans="1:34" ht="12" customHeight="1" x14ac:dyDescent="0.2">
      <c r="A172" s="141"/>
      <c r="B172" s="515" t="s">
        <v>46</v>
      </c>
      <c r="C172" s="515"/>
      <c r="D172" s="515"/>
      <c r="E172" s="515"/>
      <c r="F172" s="515"/>
      <c r="G172" s="515"/>
      <c r="H172" s="515"/>
      <c r="I172" s="515"/>
      <c r="J172" s="515"/>
      <c r="K172" s="515"/>
      <c r="L172" s="515"/>
      <c r="M172" s="515"/>
      <c r="N172" s="143">
        <v>804</v>
      </c>
      <c r="O172" s="144">
        <v>10</v>
      </c>
      <c r="P172" s="144">
        <v>4</v>
      </c>
      <c r="Q172" s="272" t="s">
        <v>600</v>
      </c>
      <c r="R172" s="146" t="s">
        <v>43</v>
      </c>
      <c r="S172" s="500"/>
      <c r="T172" s="500"/>
      <c r="U172" s="164">
        <f>+U173</f>
        <v>0</v>
      </c>
      <c r="V172" s="164">
        <v>0</v>
      </c>
      <c r="W172" s="164">
        <v>20252.8</v>
      </c>
      <c r="X172" s="514"/>
      <c r="Y172" s="514"/>
      <c r="Z172" s="514"/>
      <c r="AA172" s="514"/>
      <c r="AB172" s="514"/>
      <c r="AC172" s="514"/>
      <c r="AD172" s="514"/>
      <c r="AE172" s="164"/>
      <c r="AF172" s="160"/>
      <c r="AG172" s="160">
        <f>+AG173</f>
        <v>184.80426</v>
      </c>
      <c r="AH172" s="170" t="e">
        <f t="shared" si="4"/>
        <v>#DIV/0!</v>
      </c>
    </row>
    <row r="173" spans="1:34" ht="12" customHeight="1" x14ac:dyDescent="0.2">
      <c r="A173" s="141"/>
      <c r="B173" s="515" t="s">
        <v>47</v>
      </c>
      <c r="C173" s="515"/>
      <c r="D173" s="515"/>
      <c r="E173" s="515"/>
      <c r="F173" s="515"/>
      <c r="G173" s="515"/>
      <c r="H173" s="515"/>
      <c r="I173" s="515"/>
      <c r="J173" s="515"/>
      <c r="K173" s="515"/>
      <c r="L173" s="515"/>
      <c r="M173" s="515"/>
      <c r="N173" s="143">
        <v>804</v>
      </c>
      <c r="O173" s="144">
        <v>10</v>
      </c>
      <c r="P173" s="144">
        <v>4</v>
      </c>
      <c r="Q173" s="272" t="s">
        <v>600</v>
      </c>
      <c r="R173" s="146" t="s">
        <v>44</v>
      </c>
      <c r="S173" s="500"/>
      <c r="T173" s="500"/>
      <c r="U173" s="164">
        <f>+U174</f>
        <v>0</v>
      </c>
      <c r="V173" s="164">
        <v>0</v>
      </c>
      <c r="W173" s="164">
        <v>20252.8</v>
      </c>
      <c r="X173" s="514"/>
      <c r="Y173" s="514"/>
      <c r="Z173" s="514"/>
      <c r="AA173" s="514"/>
      <c r="AB173" s="514"/>
      <c r="AC173" s="514"/>
      <c r="AD173" s="514"/>
      <c r="AE173" s="164"/>
      <c r="AF173" s="160"/>
      <c r="AG173" s="160">
        <f>+AG174</f>
        <v>184.80426</v>
      </c>
      <c r="AH173" s="170" t="e">
        <f t="shared" si="4"/>
        <v>#DIV/0!</v>
      </c>
    </row>
    <row r="174" spans="1:34" ht="21.75" customHeight="1" x14ac:dyDescent="0.2">
      <c r="A174" s="141"/>
      <c r="B174" s="515" t="s">
        <v>476</v>
      </c>
      <c r="C174" s="515"/>
      <c r="D174" s="515"/>
      <c r="E174" s="515"/>
      <c r="F174" s="515"/>
      <c r="G174" s="515"/>
      <c r="H174" s="515"/>
      <c r="I174" s="515"/>
      <c r="J174" s="515"/>
      <c r="K174" s="515"/>
      <c r="L174" s="515"/>
      <c r="M174" s="515"/>
      <c r="N174" s="143">
        <v>804</v>
      </c>
      <c r="O174" s="144">
        <v>10</v>
      </c>
      <c r="P174" s="144">
        <v>4</v>
      </c>
      <c r="Q174" s="272" t="s">
        <v>600</v>
      </c>
      <c r="R174" s="146" t="s">
        <v>48</v>
      </c>
      <c r="S174" s="500"/>
      <c r="T174" s="500"/>
      <c r="U174" s="164"/>
      <c r="V174" s="164">
        <v>0</v>
      </c>
      <c r="W174" s="164">
        <v>20252.8</v>
      </c>
      <c r="X174" s="514"/>
      <c r="Y174" s="514"/>
      <c r="Z174" s="514"/>
      <c r="AA174" s="514"/>
      <c r="AB174" s="514"/>
      <c r="AC174" s="514"/>
      <c r="AD174" s="514"/>
      <c r="AE174" s="164"/>
      <c r="AF174" s="160"/>
      <c r="AG174" s="160">
        <v>184.80426</v>
      </c>
      <c r="AH174" s="170" t="e">
        <f t="shared" si="4"/>
        <v>#DIV/0!</v>
      </c>
    </row>
    <row r="175" spans="1:34" ht="84.75" customHeight="1" x14ac:dyDescent="0.2">
      <c r="A175" s="141"/>
      <c r="B175" s="515" t="s">
        <v>483</v>
      </c>
      <c r="C175" s="515"/>
      <c r="D175" s="515"/>
      <c r="E175" s="515"/>
      <c r="F175" s="515"/>
      <c r="G175" s="515"/>
      <c r="H175" s="515"/>
      <c r="I175" s="515"/>
      <c r="J175" s="515"/>
      <c r="K175" s="515"/>
      <c r="L175" s="515"/>
      <c r="M175" s="515"/>
      <c r="N175" s="143">
        <v>804</v>
      </c>
      <c r="O175" s="144">
        <v>10</v>
      </c>
      <c r="P175" s="144">
        <v>4</v>
      </c>
      <c r="Q175" s="145" t="s">
        <v>484</v>
      </c>
      <c r="R175" s="146">
        <v>0</v>
      </c>
      <c r="S175" s="500"/>
      <c r="T175" s="500"/>
      <c r="U175" s="164">
        <v>20252.8</v>
      </c>
      <c r="V175" s="164">
        <v>0</v>
      </c>
      <c r="W175" s="164">
        <v>20252.8</v>
      </c>
      <c r="X175" s="514"/>
      <c r="Y175" s="514"/>
      <c r="Z175" s="514"/>
      <c r="AA175" s="514"/>
      <c r="AB175" s="514"/>
      <c r="AC175" s="514"/>
      <c r="AD175" s="514"/>
      <c r="AE175" s="164"/>
      <c r="AF175" s="160"/>
      <c r="AG175" s="160">
        <f>+AG176</f>
        <v>4531.9534199999998</v>
      </c>
      <c r="AH175" s="170">
        <f t="shared" si="3"/>
        <v>22.376922795860327</v>
      </c>
    </row>
    <row r="176" spans="1:34" ht="12" customHeight="1" x14ac:dyDescent="0.2">
      <c r="A176" s="141"/>
      <c r="B176" s="515" t="s">
        <v>46</v>
      </c>
      <c r="C176" s="515"/>
      <c r="D176" s="515"/>
      <c r="E176" s="515"/>
      <c r="F176" s="515"/>
      <c r="G176" s="515"/>
      <c r="H176" s="515"/>
      <c r="I176" s="515"/>
      <c r="J176" s="515"/>
      <c r="K176" s="515"/>
      <c r="L176" s="515"/>
      <c r="M176" s="515"/>
      <c r="N176" s="143">
        <v>804</v>
      </c>
      <c r="O176" s="144">
        <v>10</v>
      </c>
      <c r="P176" s="144">
        <v>4</v>
      </c>
      <c r="Q176" s="145" t="s">
        <v>484</v>
      </c>
      <c r="R176" s="146" t="s">
        <v>43</v>
      </c>
      <c r="S176" s="500"/>
      <c r="T176" s="500"/>
      <c r="U176" s="164">
        <v>20252.8</v>
      </c>
      <c r="V176" s="164">
        <v>0</v>
      </c>
      <c r="W176" s="164">
        <v>20252.8</v>
      </c>
      <c r="X176" s="514"/>
      <c r="Y176" s="514"/>
      <c r="Z176" s="514"/>
      <c r="AA176" s="514"/>
      <c r="AB176" s="514"/>
      <c r="AC176" s="514"/>
      <c r="AD176" s="514"/>
      <c r="AE176" s="164"/>
      <c r="AF176" s="160"/>
      <c r="AG176" s="160">
        <f>+AG177</f>
        <v>4531.9534199999998</v>
      </c>
      <c r="AH176" s="170">
        <f t="shared" si="3"/>
        <v>22.376922795860327</v>
      </c>
    </row>
    <row r="177" spans="1:35" ht="12" customHeight="1" x14ac:dyDescent="0.2">
      <c r="A177" s="141"/>
      <c r="B177" s="515" t="s">
        <v>47</v>
      </c>
      <c r="C177" s="515"/>
      <c r="D177" s="515"/>
      <c r="E177" s="515"/>
      <c r="F177" s="515"/>
      <c r="G177" s="515"/>
      <c r="H177" s="515"/>
      <c r="I177" s="515"/>
      <c r="J177" s="515"/>
      <c r="K177" s="515"/>
      <c r="L177" s="515"/>
      <c r="M177" s="515"/>
      <c r="N177" s="143">
        <v>804</v>
      </c>
      <c r="O177" s="144">
        <v>10</v>
      </c>
      <c r="P177" s="144">
        <v>4</v>
      </c>
      <c r="Q177" s="145" t="s">
        <v>484</v>
      </c>
      <c r="R177" s="146" t="s">
        <v>44</v>
      </c>
      <c r="S177" s="500"/>
      <c r="T177" s="500"/>
      <c r="U177" s="164">
        <v>20252.8</v>
      </c>
      <c r="V177" s="164">
        <v>0</v>
      </c>
      <c r="W177" s="164">
        <v>20252.8</v>
      </c>
      <c r="X177" s="514"/>
      <c r="Y177" s="514"/>
      <c r="Z177" s="514"/>
      <c r="AA177" s="514"/>
      <c r="AB177" s="514"/>
      <c r="AC177" s="514"/>
      <c r="AD177" s="514"/>
      <c r="AE177" s="164"/>
      <c r="AF177" s="160"/>
      <c r="AG177" s="160">
        <f>+AG178</f>
        <v>4531.9534199999998</v>
      </c>
      <c r="AH177" s="170">
        <f t="shared" si="3"/>
        <v>22.376922795860327</v>
      </c>
    </row>
    <row r="178" spans="1:35" ht="21.75" customHeight="1" x14ac:dyDescent="0.2">
      <c r="A178" s="141"/>
      <c r="B178" s="515" t="s">
        <v>476</v>
      </c>
      <c r="C178" s="515"/>
      <c r="D178" s="515"/>
      <c r="E178" s="515"/>
      <c r="F178" s="515"/>
      <c r="G178" s="515"/>
      <c r="H178" s="515"/>
      <c r="I178" s="515"/>
      <c r="J178" s="515"/>
      <c r="K178" s="515"/>
      <c r="L178" s="515"/>
      <c r="M178" s="515"/>
      <c r="N178" s="143">
        <v>804</v>
      </c>
      <c r="O178" s="144">
        <v>10</v>
      </c>
      <c r="P178" s="144">
        <v>4</v>
      </c>
      <c r="Q178" s="145" t="s">
        <v>484</v>
      </c>
      <c r="R178" s="146" t="s">
        <v>48</v>
      </c>
      <c r="S178" s="500"/>
      <c r="T178" s="500"/>
      <c r="U178" s="164">
        <v>20252.8</v>
      </c>
      <c r="V178" s="164">
        <v>0</v>
      </c>
      <c r="W178" s="164">
        <v>20252.8</v>
      </c>
      <c r="X178" s="514"/>
      <c r="Y178" s="514"/>
      <c r="Z178" s="514"/>
      <c r="AA178" s="514"/>
      <c r="AB178" s="514"/>
      <c r="AC178" s="514"/>
      <c r="AD178" s="514"/>
      <c r="AE178" s="164"/>
      <c r="AF178" s="160"/>
      <c r="AG178" s="160">
        <v>4531.9534199999998</v>
      </c>
      <c r="AH178" s="170">
        <f t="shared" si="3"/>
        <v>22.376922795860327</v>
      </c>
      <c r="AI178" s="160"/>
    </row>
    <row r="179" spans="1:35" ht="21.75" customHeight="1" x14ac:dyDescent="0.2">
      <c r="A179" s="141"/>
      <c r="B179" s="515" t="s">
        <v>155</v>
      </c>
      <c r="C179" s="515"/>
      <c r="D179" s="515"/>
      <c r="E179" s="515"/>
      <c r="F179" s="515"/>
      <c r="G179" s="515"/>
      <c r="H179" s="515"/>
      <c r="I179" s="515"/>
      <c r="J179" s="515"/>
      <c r="K179" s="515"/>
      <c r="L179" s="515"/>
      <c r="M179" s="515"/>
      <c r="N179" s="143">
        <v>804</v>
      </c>
      <c r="O179" s="144">
        <v>10</v>
      </c>
      <c r="P179" s="144">
        <v>4</v>
      </c>
      <c r="Q179" s="145" t="s">
        <v>473</v>
      </c>
      <c r="R179" s="146">
        <v>0</v>
      </c>
      <c r="S179" s="500"/>
      <c r="T179" s="500"/>
      <c r="U179" s="164">
        <v>12658.1</v>
      </c>
      <c r="V179" s="164">
        <v>0</v>
      </c>
      <c r="W179" s="164">
        <v>12658.1</v>
      </c>
      <c r="X179" s="514"/>
      <c r="Y179" s="514"/>
      <c r="Z179" s="514"/>
      <c r="AA179" s="514"/>
      <c r="AB179" s="514"/>
      <c r="AC179" s="514"/>
      <c r="AD179" s="514"/>
      <c r="AE179" s="164"/>
      <c r="AF179" s="160"/>
      <c r="AG179" s="160">
        <f>+AG180</f>
        <v>3190.9169999999999</v>
      </c>
      <c r="AH179" s="170">
        <f t="shared" si="3"/>
        <v>25.208498905838951</v>
      </c>
    </row>
    <row r="180" spans="1:35" ht="12" customHeight="1" x14ac:dyDescent="0.2">
      <c r="A180" s="141"/>
      <c r="B180" s="515" t="s">
        <v>53</v>
      </c>
      <c r="C180" s="515"/>
      <c r="D180" s="515"/>
      <c r="E180" s="515"/>
      <c r="F180" s="515"/>
      <c r="G180" s="515"/>
      <c r="H180" s="515"/>
      <c r="I180" s="515"/>
      <c r="J180" s="515"/>
      <c r="K180" s="515"/>
      <c r="L180" s="515"/>
      <c r="M180" s="515"/>
      <c r="N180" s="143">
        <v>804</v>
      </c>
      <c r="O180" s="144">
        <v>10</v>
      </c>
      <c r="P180" s="144">
        <v>4</v>
      </c>
      <c r="Q180" s="145" t="s">
        <v>481</v>
      </c>
      <c r="R180" s="146">
        <v>0</v>
      </c>
      <c r="S180" s="500"/>
      <c r="T180" s="500"/>
      <c r="U180" s="164">
        <v>12658.1</v>
      </c>
      <c r="V180" s="164">
        <v>0</v>
      </c>
      <c r="W180" s="164">
        <v>12658.1</v>
      </c>
      <c r="X180" s="514"/>
      <c r="Y180" s="514"/>
      <c r="Z180" s="514"/>
      <c r="AA180" s="514"/>
      <c r="AB180" s="514"/>
      <c r="AC180" s="514"/>
      <c r="AD180" s="514"/>
      <c r="AE180" s="164"/>
      <c r="AF180" s="160"/>
      <c r="AG180" s="160">
        <f>+AG181</f>
        <v>3190.9169999999999</v>
      </c>
      <c r="AH180" s="170">
        <f t="shared" si="3"/>
        <v>25.208498905838951</v>
      </c>
    </row>
    <row r="181" spans="1:35" ht="21.75" customHeight="1" x14ac:dyDescent="0.2">
      <c r="A181" s="141"/>
      <c r="B181" s="515" t="s">
        <v>576</v>
      </c>
      <c r="C181" s="515"/>
      <c r="D181" s="515"/>
      <c r="E181" s="515"/>
      <c r="F181" s="515"/>
      <c r="G181" s="515"/>
      <c r="H181" s="515"/>
      <c r="I181" s="515"/>
      <c r="J181" s="515"/>
      <c r="K181" s="515"/>
      <c r="L181" s="515"/>
      <c r="M181" s="515"/>
      <c r="N181" s="143">
        <v>804</v>
      </c>
      <c r="O181" s="144">
        <v>10</v>
      </c>
      <c r="P181" s="144">
        <v>4</v>
      </c>
      <c r="Q181" s="145" t="s">
        <v>577</v>
      </c>
      <c r="R181" s="146">
        <v>0</v>
      </c>
      <c r="S181" s="500"/>
      <c r="T181" s="500"/>
      <c r="U181" s="164">
        <v>12658.1</v>
      </c>
      <c r="V181" s="164">
        <v>0</v>
      </c>
      <c r="W181" s="164">
        <v>12658.1</v>
      </c>
      <c r="X181" s="514"/>
      <c r="Y181" s="514"/>
      <c r="Z181" s="514"/>
      <c r="AA181" s="514"/>
      <c r="AB181" s="514"/>
      <c r="AC181" s="514"/>
      <c r="AD181" s="514"/>
      <c r="AE181" s="164"/>
      <c r="AF181" s="160"/>
      <c r="AG181" s="160">
        <f>+AG182</f>
        <v>3190.9169999999999</v>
      </c>
      <c r="AH181" s="170">
        <f t="shared" si="3"/>
        <v>25.208498905838951</v>
      </c>
    </row>
    <row r="182" spans="1:35" ht="12" customHeight="1" x14ac:dyDescent="0.2">
      <c r="A182" s="141"/>
      <c r="B182" s="515" t="s">
        <v>46</v>
      </c>
      <c r="C182" s="515"/>
      <c r="D182" s="515"/>
      <c r="E182" s="515"/>
      <c r="F182" s="515"/>
      <c r="G182" s="515"/>
      <c r="H182" s="515"/>
      <c r="I182" s="515"/>
      <c r="J182" s="515"/>
      <c r="K182" s="515"/>
      <c r="L182" s="515"/>
      <c r="M182" s="515"/>
      <c r="N182" s="143">
        <v>804</v>
      </c>
      <c r="O182" s="144">
        <v>10</v>
      </c>
      <c r="P182" s="144">
        <v>4</v>
      </c>
      <c r="Q182" s="145" t="s">
        <v>577</v>
      </c>
      <c r="R182" s="146" t="s">
        <v>43</v>
      </c>
      <c r="S182" s="500"/>
      <c r="T182" s="500"/>
      <c r="U182" s="164">
        <v>12658.1</v>
      </c>
      <c r="V182" s="164">
        <v>0</v>
      </c>
      <c r="W182" s="164">
        <v>12658.1</v>
      </c>
      <c r="X182" s="514"/>
      <c r="Y182" s="514"/>
      <c r="Z182" s="514"/>
      <c r="AA182" s="514"/>
      <c r="AB182" s="514"/>
      <c r="AC182" s="514"/>
      <c r="AD182" s="514"/>
      <c r="AE182" s="164"/>
      <c r="AF182" s="160"/>
      <c r="AG182" s="160">
        <f>+AG183</f>
        <v>3190.9169999999999</v>
      </c>
      <c r="AH182" s="170">
        <f t="shared" si="3"/>
        <v>25.208498905838951</v>
      </c>
    </row>
    <row r="183" spans="1:35" ht="12" customHeight="1" x14ac:dyDescent="0.2">
      <c r="A183" s="141"/>
      <c r="B183" s="515" t="s">
        <v>47</v>
      </c>
      <c r="C183" s="515"/>
      <c r="D183" s="515"/>
      <c r="E183" s="515"/>
      <c r="F183" s="515"/>
      <c r="G183" s="515"/>
      <c r="H183" s="515"/>
      <c r="I183" s="515"/>
      <c r="J183" s="515"/>
      <c r="K183" s="515"/>
      <c r="L183" s="515"/>
      <c r="M183" s="515"/>
      <c r="N183" s="143">
        <v>804</v>
      </c>
      <c r="O183" s="144">
        <v>10</v>
      </c>
      <c r="P183" s="144">
        <v>4</v>
      </c>
      <c r="Q183" s="145" t="s">
        <v>577</v>
      </c>
      <c r="R183" s="146" t="s">
        <v>44</v>
      </c>
      <c r="S183" s="500"/>
      <c r="T183" s="500"/>
      <c r="U183" s="164">
        <v>12658.1</v>
      </c>
      <c r="V183" s="164">
        <v>0</v>
      </c>
      <c r="W183" s="164">
        <v>12658.1</v>
      </c>
      <c r="X183" s="514"/>
      <c r="Y183" s="514"/>
      <c r="Z183" s="514"/>
      <c r="AA183" s="514"/>
      <c r="AB183" s="514"/>
      <c r="AC183" s="514"/>
      <c r="AD183" s="514"/>
      <c r="AE183" s="164"/>
      <c r="AF183" s="160"/>
      <c r="AG183" s="160">
        <f>+AG184</f>
        <v>3190.9169999999999</v>
      </c>
      <c r="AH183" s="170">
        <f t="shared" si="3"/>
        <v>25.208498905838951</v>
      </c>
    </row>
    <row r="184" spans="1:35" ht="21.75" customHeight="1" x14ac:dyDescent="0.2">
      <c r="A184" s="141"/>
      <c r="B184" s="515" t="s">
        <v>476</v>
      </c>
      <c r="C184" s="515"/>
      <c r="D184" s="515"/>
      <c r="E184" s="515"/>
      <c r="F184" s="515"/>
      <c r="G184" s="515"/>
      <c r="H184" s="515"/>
      <c r="I184" s="515"/>
      <c r="J184" s="515"/>
      <c r="K184" s="515"/>
      <c r="L184" s="515"/>
      <c r="M184" s="515"/>
      <c r="N184" s="143">
        <v>804</v>
      </c>
      <c r="O184" s="144">
        <v>10</v>
      </c>
      <c r="P184" s="144">
        <v>4</v>
      </c>
      <c r="Q184" s="145" t="s">
        <v>577</v>
      </c>
      <c r="R184" s="146" t="s">
        <v>48</v>
      </c>
      <c r="S184" s="500"/>
      <c r="T184" s="500"/>
      <c r="U184" s="164">
        <v>12658.1</v>
      </c>
      <c r="V184" s="164">
        <v>0</v>
      </c>
      <c r="W184" s="164">
        <v>12658.1</v>
      </c>
      <c r="X184" s="514"/>
      <c r="Y184" s="514"/>
      <c r="Z184" s="514"/>
      <c r="AA184" s="514"/>
      <c r="AB184" s="514"/>
      <c r="AC184" s="514"/>
      <c r="AD184" s="514"/>
      <c r="AE184" s="164"/>
      <c r="AF184" s="160"/>
      <c r="AG184" s="160">
        <v>3190.9169999999999</v>
      </c>
      <c r="AH184" s="170">
        <f t="shared" si="3"/>
        <v>25.208498905838951</v>
      </c>
    </row>
    <row r="185" spans="1:35" ht="12" customHeight="1" x14ac:dyDescent="0.2">
      <c r="A185" s="141"/>
      <c r="B185" s="515" t="s">
        <v>57</v>
      </c>
      <c r="C185" s="515"/>
      <c r="D185" s="515"/>
      <c r="E185" s="515"/>
      <c r="F185" s="515"/>
      <c r="G185" s="515"/>
      <c r="H185" s="515"/>
      <c r="I185" s="515"/>
      <c r="J185" s="515"/>
      <c r="K185" s="515"/>
      <c r="L185" s="515"/>
      <c r="M185" s="515"/>
      <c r="N185" s="143">
        <v>804</v>
      </c>
      <c r="O185" s="144">
        <v>10</v>
      </c>
      <c r="P185" s="144">
        <v>6</v>
      </c>
      <c r="Q185" s="145">
        <v>0</v>
      </c>
      <c r="R185" s="146">
        <v>0</v>
      </c>
      <c r="S185" s="500"/>
      <c r="T185" s="500"/>
      <c r="U185" s="164">
        <v>4072.4839999999999</v>
      </c>
      <c r="V185" s="164">
        <v>0</v>
      </c>
      <c r="W185" s="164">
        <v>4072.4839999999999</v>
      </c>
      <c r="X185" s="514"/>
      <c r="Y185" s="514"/>
      <c r="Z185" s="514"/>
      <c r="AA185" s="514"/>
      <c r="AB185" s="514"/>
      <c r="AC185" s="514"/>
      <c r="AD185" s="514"/>
      <c r="AE185" s="164"/>
      <c r="AF185" s="160"/>
      <c r="AG185" s="160">
        <f>+AG186+AG197</f>
        <v>862.2517499999999</v>
      </c>
      <c r="AH185" s="170">
        <f t="shared" si="3"/>
        <v>21.172624619274131</v>
      </c>
    </row>
    <row r="186" spans="1:35" ht="21.75" customHeight="1" x14ac:dyDescent="0.2">
      <c r="A186" s="141"/>
      <c r="B186" s="515" t="s">
        <v>155</v>
      </c>
      <c r="C186" s="515"/>
      <c r="D186" s="515"/>
      <c r="E186" s="515"/>
      <c r="F186" s="515"/>
      <c r="G186" s="515"/>
      <c r="H186" s="515"/>
      <c r="I186" s="515"/>
      <c r="J186" s="515"/>
      <c r="K186" s="515"/>
      <c r="L186" s="515"/>
      <c r="M186" s="515"/>
      <c r="N186" s="143">
        <v>804</v>
      </c>
      <c r="O186" s="144">
        <v>10</v>
      </c>
      <c r="P186" s="144">
        <v>6</v>
      </c>
      <c r="Q186" s="145" t="s">
        <v>473</v>
      </c>
      <c r="R186" s="146">
        <v>0</v>
      </c>
      <c r="S186" s="500"/>
      <c r="T186" s="500"/>
      <c r="U186" s="164">
        <v>3641.2840000000001</v>
      </c>
      <c r="V186" s="164">
        <v>0</v>
      </c>
      <c r="W186" s="164">
        <v>3641.2840000000001</v>
      </c>
      <c r="X186" s="514"/>
      <c r="Y186" s="514"/>
      <c r="Z186" s="514"/>
      <c r="AA186" s="514"/>
      <c r="AB186" s="514"/>
      <c r="AC186" s="514"/>
      <c r="AD186" s="514"/>
      <c r="AE186" s="164"/>
      <c r="AF186" s="160"/>
      <c r="AG186" s="160">
        <f>+AG187</f>
        <v>767.55328999999995</v>
      </c>
      <c r="AH186" s="170">
        <f t="shared" si="3"/>
        <v>21.079193218655835</v>
      </c>
    </row>
    <row r="187" spans="1:35" ht="21.75" customHeight="1" x14ac:dyDescent="0.2">
      <c r="A187" s="141"/>
      <c r="B187" s="515" t="s">
        <v>58</v>
      </c>
      <c r="C187" s="515"/>
      <c r="D187" s="515"/>
      <c r="E187" s="515"/>
      <c r="F187" s="515"/>
      <c r="G187" s="515"/>
      <c r="H187" s="515"/>
      <c r="I187" s="515"/>
      <c r="J187" s="515"/>
      <c r="K187" s="515"/>
      <c r="L187" s="515"/>
      <c r="M187" s="515"/>
      <c r="N187" s="143">
        <v>804</v>
      </c>
      <c r="O187" s="144">
        <v>10</v>
      </c>
      <c r="P187" s="144">
        <v>6</v>
      </c>
      <c r="Q187" s="145" t="s">
        <v>504</v>
      </c>
      <c r="R187" s="146">
        <v>0</v>
      </c>
      <c r="S187" s="500"/>
      <c r="T187" s="500"/>
      <c r="U187" s="164">
        <v>3641.2840000000001</v>
      </c>
      <c r="V187" s="164">
        <v>0</v>
      </c>
      <c r="W187" s="164">
        <v>3641.2840000000001</v>
      </c>
      <c r="X187" s="514"/>
      <c r="Y187" s="514"/>
      <c r="Z187" s="514"/>
      <c r="AA187" s="514"/>
      <c r="AB187" s="514"/>
      <c r="AC187" s="514"/>
      <c r="AD187" s="514"/>
      <c r="AE187" s="164"/>
      <c r="AF187" s="160"/>
      <c r="AG187" s="160">
        <f>+AG188</f>
        <v>767.55328999999995</v>
      </c>
      <c r="AH187" s="170">
        <f t="shared" si="3"/>
        <v>21.079193218655835</v>
      </c>
    </row>
    <row r="188" spans="1:35" ht="21.75" customHeight="1" x14ac:dyDescent="0.2">
      <c r="A188" s="141"/>
      <c r="B188" s="515" t="s">
        <v>59</v>
      </c>
      <c r="C188" s="515"/>
      <c r="D188" s="515"/>
      <c r="E188" s="515"/>
      <c r="F188" s="515"/>
      <c r="G188" s="515"/>
      <c r="H188" s="515"/>
      <c r="I188" s="515"/>
      <c r="J188" s="515"/>
      <c r="K188" s="515"/>
      <c r="L188" s="515"/>
      <c r="M188" s="515"/>
      <c r="N188" s="143">
        <v>804</v>
      </c>
      <c r="O188" s="144">
        <v>10</v>
      </c>
      <c r="P188" s="144">
        <v>6</v>
      </c>
      <c r="Q188" s="145" t="s">
        <v>505</v>
      </c>
      <c r="R188" s="146">
        <v>0</v>
      </c>
      <c r="S188" s="500"/>
      <c r="T188" s="500"/>
      <c r="U188" s="164">
        <v>3641.2840000000001</v>
      </c>
      <c r="V188" s="164">
        <v>0</v>
      </c>
      <c r="W188" s="164">
        <v>3641.2840000000001</v>
      </c>
      <c r="X188" s="514"/>
      <c r="Y188" s="514"/>
      <c r="Z188" s="514"/>
      <c r="AA188" s="514"/>
      <c r="AB188" s="514"/>
      <c r="AC188" s="514"/>
      <c r="AD188" s="514"/>
      <c r="AE188" s="164"/>
      <c r="AF188" s="160"/>
      <c r="AG188" s="160">
        <f>+AG189+AG193</f>
        <v>767.55328999999995</v>
      </c>
      <c r="AH188" s="170">
        <f t="shared" si="3"/>
        <v>21.079193218655835</v>
      </c>
    </row>
    <row r="189" spans="1:35" ht="53.25" customHeight="1" x14ac:dyDescent="0.2">
      <c r="A189" s="141"/>
      <c r="B189" s="515" t="s">
        <v>17</v>
      </c>
      <c r="C189" s="515"/>
      <c r="D189" s="515"/>
      <c r="E189" s="515"/>
      <c r="F189" s="515"/>
      <c r="G189" s="515"/>
      <c r="H189" s="515"/>
      <c r="I189" s="515"/>
      <c r="J189" s="515"/>
      <c r="K189" s="515"/>
      <c r="L189" s="515"/>
      <c r="M189" s="515"/>
      <c r="N189" s="143">
        <v>804</v>
      </c>
      <c r="O189" s="144">
        <v>10</v>
      </c>
      <c r="P189" s="144">
        <v>6</v>
      </c>
      <c r="Q189" s="145" t="s">
        <v>505</v>
      </c>
      <c r="R189" s="146" t="s">
        <v>18</v>
      </c>
      <c r="S189" s="500"/>
      <c r="T189" s="500"/>
      <c r="U189" s="164">
        <v>3397.4769999999999</v>
      </c>
      <c r="V189" s="164">
        <v>0</v>
      </c>
      <c r="W189" s="164">
        <v>3397.4769999999999</v>
      </c>
      <c r="X189" s="514"/>
      <c r="Y189" s="514"/>
      <c r="Z189" s="514"/>
      <c r="AA189" s="514"/>
      <c r="AB189" s="514"/>
      <c r="AC189" s="514"/>
      <c r="AD189" s="514"/>
      <c r="AE189" s="164"/>
      <c r="AF189" s="160"/>
      <c r="AG189" s="160">
        <f>+AG190</f>
        <v>732.65519999999992</v>
      </c>
      <c r="AH189" s="170">
        <f t="shared" si="3"/>
        <v>21.564684617438175</v>
      </c>
    </row>
    <row r="190" spans="1:35" ht="21.75" customHeight="1" x14ac:dyDescent="0.2">
      <c r="A190" s="141"/>
      <c r="B190" s="515" t="s">
        <v>37</v>
      </c>
      <c r="C190" s="515"/>
      <c r="D190" s="515"/>
      <c r="E190" s="515"/>
      <c r="F190" s="515"/>
      <c r="G190" s="515"/>
      <c r="H190" s="515"/>
      <c r="I190" s="515"/>
      <c r="J190" s="515"/>
      <c r="K190" s="515"/>
      <c r="L190" s="515"/>
      <c r="M190" s="515"/>
      <c r="N190" s="143">
        <v>804</v>
      </c>
      <c r="O190" s="144">
        <v>10</v>
      </c>
      <c r="P190" s="144">
        <v>6</v>
      </c>
      <c r="Q190" s="145" t="s">
        <v>505</v>
      </c>
      <c r="R190" s="146" t="s">
        <v>38</v>
      </c>
      <c r="S190" s="500"/>
      <c r="T190" s="500"/>
      <c r="U190" s="164">
        <v>3397.4769999999999</v>
      </c>
      <c r="V190" s="164">
        <v>0</v>
      </c>
      <c r="W190" s="164">
        <v>3397.4769999999999</v>
      </c>
      <c r="X190" s="514"/>
      <c r="Y190" s="514"/>
      <c r="Z190" s="514"/>
      <c r="AA190" s="514"/>
      <c r="AB190" s="514"/>
      <c r="AC190" s="514"/>
      <c r="AD190" s="514"/>
      <c r="AE190" s="164"/>
      <c r="AF190" s="160"/>
      <c r="AG190" s="160">
        <f>+AG191+AG192</f>
        <v>732.65519999999992</v>
      </c>
      <c r="AH190" s="170">
        <f t="shared" si="3"/>
        <v>21.564684617438175</v>
      </c>
    </row>
    <row r="191" spans="1:35" ht="21.75" customHeight="1" x14ac:dyDescent="0.2">
      <c r="A191" s="141"/>
      <c r="B191" s="515" t="s">
        <v>333</v>
      </c>
      <c r="C191" s="515"/>
      <c r="D191" s="515"/>
      <c r="E191" s="515"/>
      <c r="F191" s="515"/>
      <c r="G191" s="515"/>
      <c r="H191" s="515"/>
      <c r="I191" s="515"/>
      <c r="J191" s="515"/>
      <c r="K191" s="515"/>
      <c r="L191" s="515"/>
      <c r="M191" s="515"/>
      <c r="N191" s="143">
        <v>804</v>
      </c>
      <c r="O191" s="144">
        <v>10</v>
      </c>
      <c r="P191" s="144">
        <v>6</v>
      </c>
      <c r="Q191" s="145" t="s">
        <v>505</v>
      </c>
      <c r="R191" s="146" t="s">
        <v>39</v>
      </c>
      <c r="S191" s="500"/>
      <c r="T191" s="500"/>
      <c r="U191" s="164">
        <v>2609.4290000000001</v>
      </c>
      <c r="V191" s="164">
        <v>0</v>
      </c>
      <c r="W191" s="164">
        <v>2609.4290000000001</v>
      </c>
      <c r="X191" s="514"/>
      <c r="Y191" s="514"/>
      <c r="Z191" s="514"/>
      <c r="AA191" s="514"/>
      <c r="AB191" s="514"/>
      <c r="AC191" s="514"/>
      <c r="AD191" s="514"/>
      <c r="AE191" s="164"/>
      <c r="AF191" s="160"/>
      <c r="AG191" s="160">
        <v>562.71520999999996</v>
      </c>
      <c r="AH191" s="170">
        <f t="shared" si="3"/>
        <v>21.564687523592323</v>
      </c>
    </row>
    <row r="192" spans="1:35" ht="32.25" customHeight="1" x14ac:dyDescent="0.2">
      <c r="A192" s="141"/>
      <c r="B192" s="515" t="s">
        <v>334</v>
      </c>
      <c r="C192" s="515"/>
      <c r="D192" s="515"/>
      <c r="E192" s="515"/>
      <c r="F192" s="515"/>
      <c r="G192" s="515"/>
      <c r="H192" s="515"/>
      <c r="I192" s="515"/>
      <c r="J192" s="515"/>
      <c r="K192" s="515"/>
      <c r="L192" s="515"/>
      <c r="M192" s="515"/>
      <c r="N192" s="143">
        <v>804</v>
      </c>
      <c r="O192" s="144">
        <v>10</v>
      </c>
      <c r="P192" s="144">
        <v>6</v>
      </c>
      <c r="Q192" s="145" t="s">
        <v>505</v>
      </c>
      <c r="R192" s="146" t="s">
        <v>41</v>
      </c>
      <c r="S192" s="500"/>
      <c r="T192" s="500"/>
      <c r="U192" s="164">
        <v>788.048</v>
      </c>
      <c r="V192" s="164">
        <v>0</v>
      </c>
      <c r="W192" s="164">
        <v>788.048</v>
      </c>
      <c r="X192" s="514"/>
      <c r="Y192" s="514"/>
      <c r="Z192" s="514"/>
      <c r="AA192" s="514"/>
      <c r="AB192" s="514"/>
      <c r="AC192" s="514"/>
      <c r="AD192" s="514"/>
      <c r="AE192" s="164"/>
      <c r="AF192" s="160"/>
      <c r="AG192" s="160">
        <v>169.93998999999999</v>
      </c>
      <c r="AH192" s="170">
        <f t="shared" si="3"/>
        <v>21.564674994416581</v>
      </c>
    </row>
    <row r="193" spans="1:34" ht="21.75" customHeight="1" x14ac:dyDescent="0.2">
      <c r="A193" s="141"/>
      <c r="B193" s="515" t="s">
        <v>345</v>
      </c>
      <c r="C193" s="515"/>
      <c r="D193" s="515"/>
      <c r="E193" s="515"/>
      <c r="F193" s="515"/>
      <c r="G193" s="515"/>
      <c r="H193" s="515"/>
      <c r="I193" s="515"/>
      <c r="J193" s="515"/>
      <c r="K193" s="515"/>
      <c r="L193" s="515"/>
      <c r="M193" s="515"/>
      <c r="N193" s="143">
        <v>804</v>
      </c>
      <c r="O193" s="144">
        <v>10</v>
      </c>
      <c r="P193" s="144">
        <v>6</v>
      </c>
      <c r="Q193" s="145" t="s">
        <v>505</v>
      </c>
      <c r="R193" s="146" t="s">
        <v>24</v>
      </c>
      <c r="S193" s="500"/>
      <c r="T193" s="500"/>
      <c r="U193" s="164">
        <v>243.80699999999999</v>
      </c>
      <c r="V193" s="164">
        <v>0</v>
      </c>
      <c r="W193" s="164">
        <v>243.80699999999999</v>
      </c>
      <c r="X193" s="514"/>
      <c r="Y193" s="514"/>
      <c r="Z193" s="514"/>
      <c r="AA193" s="514"/>
      <c r="AB193" s="514"/>
      <c r="AC193" s="514"/>
      <c r="AD193" s="514"/>
      <c r="AE193" s="164"/>
      <c r="AF193" s="160"/>
      <c r="AG193" s="160">
        <f>+AG194</f>
        <v>34.898089999999996</v>
      </c>
      <c r="AH193" s="170">
        <f t="shared" si="3"/>
        <v>14.313817896943073</v>
      </c>
    </row>
    <row r="194" spans="1:34" ht="21.75" customHeight="1" x14ac:dyDescent="0.2">
      <c r="A194" s="141"/>
      <c r="B194" s="515" t="s">
        <v>346</v>
      </c>
      <c r="C194" s="515"/>
      <c r="D194" s="515"/>
      <c r="E194" s="515"/>
      <c r="F194" s="515"/>
      <c r="G194" s="515"/>
      <c r="H194" s="515"/>
      <c r="I194" s="515"/>
      <c r="J194" s="515"/>
      <c r="K194" s="515"/>
      <c r="L194" s="515"/>
      <c r="M194" s="515"/>
      <c r="N194" s="143">
        <v>804</v>
      </c>
      <c r="O194" s="144">
        <v>10</v>
      </c>
      <c r="P194" s="144">
        <v>6</v>
      </c>
      <c r="Q194" s="145" t="s">
        <v>505</v>
      </c>
      <c r="R194" s="146" t="s">
        <v>26</v>
      </c>
      <c r="S194" s="500"/>
      <c r="T194" s="500"/>
      <c r="U194" s="164">
        <v>243.80699999999999</v>
      </c>
      <c r="V194" s="164">
        <v>0</v>
      </c>
      <c r="W194" s="164">
        <v>243.80699999999999</v>
      </c>
      <c r="X194" s="514"/>
      <c r="Y194" s="514"/>
      <c r="Z194" s="514"/>
      <c r="AA194" s="514"/>
      <c r="AB194" s="514"/>
      <c r="AC194" s="514"/>
      <c r="AD194" s="514"/>
      <c r="AE194" s="164"/>
      <c r="AF194" s="160"/>
      <c r="AG194" s="160">
        <f>+AG195+AG196</f>
        <v>34.898089999999996</v>
      </c>
      <c r="AH194" s="170">
        <f t="shared" si="3"/>
        <v>14.313817896943073</v>
      </c>
    </row>
    <row r="195" spans="1:34" ht="21.75" customHeight="1" x14ac:dyDescent="0.2">
      <c r="A195" s="141"/>
      <c r="B195" s="515" t="s">
        <v>347</v>
      </c>
      <c r="C195" s="515"/>
      <c r="D195" s="515"/>
      <c r="E195" s="515"/>
      <c r="F195" s="515"/>
      <c r="G195" s="515"/>
      <c r="H195" s="515"/>
      <c r="I195" s="515"/>
      <c r="J195" s="515"/>
      <c r="K195" s="515"/>
      <c r="L195" s="515"/>
      <c r="M195" s="515"/>
      <c r="N195" s="143">
        <v>804</v>
      </c>
      <c r="O195" s="144">
        <v>10</v>
      </c>
      <c r="P195" s="144">
        <v>6</v>
      </c>
      <c r="Q195" s="145" t="s">
        <v>505</v>
      </c>
      <c r="R195" s="146" t="s">
        <v>27</v>
      </c>
      <c r="S195" s="500"/>
      <c r="T195" s="500"/>
      <c r="U195" s="164">
        <v>138.80699999999999</v>
      </c>
      <c r="V195" s="164">
        <v>0</v>
      </c>
      <c r="W195" s="164">
        <v>138.80699999999999</v>
      </c>
      <c r="X195" s="514"/>
      <c r="Y195" s="514"/>
      <c r="Z195" s="514"/>
      <c r="AA195" s="514"/>
      <c r="AB195" s="514"/>
      <c r="AC195" s="514"/>
      <c r="AD195" s="514"/>
      <c r="AE195" s="164"/>
      <c r="AF195" s="160"/>
      <c r="AG195" s="160">
        <v>19.39809</v>
      </c>
      <c r="AH195" s="170">
        <f t="shared" si="3"/>
        <v>13.97486438003847</v>
      </c>
    </row>
    <row r="196" spans="1:34" ht="12" customHeight="1" x14ac:dyDescent="0.2">
      <c r="A196" s="141"/>
      <c r="B196" s="515" t="s">
        <v>348</v>
      </c>
      <c r="C196" s="515"/>
      <c r="D196" s="515"/>
      <c r="E196" s="515"/>
      <c r="F196" s="515"/>
      <c r="G196" s="515"/>
      <c r="H196" s="515"/>
      <c r="I196" s="515"/>
      <c r="J196" s="515"/>
      <c r="K196" s="515"/>
      <c r="L196" s="515"/>
      <c r="M196" s="515"/>
      <c r="N196" s="143">
        <v>804</v>
      </c>
      <c r="O196" s="144">
        <v>10</v>
      </c>
      <c r="P196" s="144">
        <v>6</v>
      </c>
      <c r="Q196" s="145" t="s">
        <v>505</v>
      </c>
      <c r="R196" s="146" t="s">
        <v>28</v>
      </c>
      <c r="S196" s="500"/>
      <c r="T196" s="500"/>
      <c r="U196" s="164">
        <v>105</v>
      </c>
      <c r="V196" s="164">
        <v>0</v>
      </c>
      <c r="W196" s="164">
        <v>105</v>
      </c>
      <c r="X196" s="514"/>
      <c r="Y196" s="514"/>
      <c r="Z196" s="514"/>
      <c r="AA196" s="514"/>
      <c r="AB196" s="514"/>
      <c r="AC196" s="514"/>
      <c r="AD196" s="514"/>
      <c r="AE196" s="164"/>
      <c r="AF196" s="160"/>
      <c r="AG196" s="160">
        <v>15.5</v>
      </c>
      <c r="AH196" s="170">
        <f t="shared" si="3"/>
        <v>14.761904761904763</v>
      </c>
    </row>
    <row r="197" spans="1:34" ht="21.75" customHeight="1" x14ac:dyDescent="0.2">
      <c r="A197" s="141"/>
      <c r="B197" s="515" t="s">
        <v>155</v>
      </c>
      <c r="C197" s="515"/>
      <c r="D197" s="515"/>
      <c r="E197" s="515"/>
      <c r="F197" s="515"/>
      <c r="G197" s="515"/>
      <c r="H197" s="515"/>
      <c r="I197" s="515"/>
      <c r="J197" s="515"/>
      <c r="K197" s="515"/>
      <c r="L197" s="515"/>
      <c r="M197" s="515"/>
      <c r="N197" s="143">
        <v>804</v>
      </c>
      <c r="O197" s="144">
        <v>10</v>
      </c>
      <c r="P197" s="144">
        <v>6</v>
      </c>
      <c r="Q197" s="145" t="s">
        <v>473</v>
      </c>
      <c r="R197" s="146">
        <v>0</v>
      </c>
      <c r="S197" s="500"/>
      <c r="T197" s="500"/>
      <c r="U197" s="164">
        <v>431.2</v>
      </c>
      <c r="V197" s="164">
        <v>0</v>
      </c>
      <c r="W197" s="164">
        <v>431.2</v>
      </c>
      <c r="X197" s="514"/>
      <c r="Y197" s="514"/>
      <c r="Z197" s="514"/>
      <c r="AA197" s="514"/>
      <c r="AB197" s="514"/>
      <c r="AC197" s="514"/>
      <c r="AD197" s="514"/>
      <c r="AE197" s="164"/>
      <c r="AF197" s="160"/>
      <c r="AG197" s="160">
        <f>+AG198</f>
        <v>94.698459999999997</v>
      </c>
      <c r="AH197" s="170">
        <f t="shared" si="3"/>
        <v>21.961609461966606</v>
      </c>
    </row>
    <row r="198" spans="1:34" ht="21.75" customHeight="1" x14ac:dyDescent="0.2">
      <c r="A198" s="141"/>
      <c r="B198" s="515" t="s">
        <v>58</v>
      </c>
      <c r="C198" s="515"/>
      <c r="D198" s="515"/>
      <c r="E198" s="515"/>
      <c r="F198" s="515"/>
      <c r="G198" s="515"/>
      <c r="H198" s="515"/>
      <c r="I198" s="515"/>
      <c r="J198" s="515"/>
      <c r="K198" s="515"/>
      <c r="L198" s="515"/>
      <c r="M198" s="515"/>
      <c r="N198" s="143">
        <v>804</v>
      </c>
      <c r="O198" s="144">
        <v>10</v>
      </c>
      <c r="P198" s="144">
        <v>6</v>
      </c>
      <c r="Q198" s="145" t="s">
        <v>504</v>
      </c>
      <c r="R198" s="146">
        <v>0</v>
      </c>
      <c r="S198" s="500"/>
      <c r="T198" s="500"/>
      <c r="U198" s="164">
        <v>431.2</v>
      </c>
      <c r="V198" s="164">
        <v>0</v>
      </c>
      <c r="W198" s="164">
        <v>431.2</v>
      </c>
      <c r="X198" s="514"/>
      <c r="Y198" s="514"/>
      <c r="Z198" s="514"/>
      <c r="AA198" s="514"/>
      <c r="AB198" s="514"/>
      <c r="AC198" s="514"/>
      <c r="AD198" s="514"/>
      <c r="AE198" s="164"/>
      <c r="AF198" s="160"/>
      <c r="AG198" s="160">
        <f>+AG199</f>
        <v>94.698459999999997</v>
      </c>
      <c r="AH198" s="170">
        <f t="shared" si="3"/>
        <v>21.961609461966606</v>
      </c>
    </row>
    <row r="199" spans="1:34" ht="32.25" customHeight="1" x14ac:dyDescent="0.2">
      <c r="A199" s="141"/>
      <c r="B199" s="515" t="s">
        <v>60</v>
      </c>
      <c r="C199" s="515"/>
      <c r="D199" s="515"/>
      <c r="E199" s="515"/>
      <c r="F199" s="515"/>
      <c r="G199" s="515"/>
      <c r="H199" s="515"/>
      <c r="I199" s="515"/>
      <c r="J199" s="515"/>
      <c r="K199" s="515"/>
      <c r="L199" s="515"/>
      <c r="M199" s="515"/>
      <c r="N199" s="143">
        <v>804</v>
      </c>
      <c r="O199" s="144">
        <v>10</v>
      </c>
      <c r="P199" s="144">
        <v>6</v>
      </c>
      <c r="Q199" s="145" t="s">
        <v>506</v>
      </c>
      <c r="R199" s="146">
        <v>0</v>
      </c>
      <c r="S199" s="500"/>
      <c r="T199" s="500"/>
      <c r="U199" s="164">
        <v>431.2</v>
      </c>
      <c r="V199" s="164">
        <v>0</v>
      </c>
      <c r="W199" s="164">
        <v>431.2</v>
      </c>
      <c r="X199" s="514"/>
      <c r="Y199" s="514"/>
      <c r="Z199" s="514"/>
      <c r="AA199" s="514"/>
      <c r="AB199" s="514"/>
      <c r="AC199" s="514"/>
      <c r="AD199" s="514"/>
      <c r="AE199" s="164"/>
      <c r="AF199" s="160"/>
      <c r="AG199" s="160">
        <f>+AG200</f>
        <v>94.698459999999997</v>
      </c>
      <c r="AH199" s="170">
        <f t="shared" si="3"/>
        <v>21.961609461966606</v>
      </c>
    </row>
    <row r="200" spans="1:34" ht="21.75" customHeight="1" x14ac:dyDescent="0.2">
      <c r="A200" s="141"/>
      <c r="B200" s="515" t="s">
        <v>345</v>
      </c>
      <c r="C200" s="515"/>
      <c r="D200" s="515"/>
      <c r="E200" s="515"/>
      <c r="F200" s="515"/>
      <c r="G200" s="515"/>
      <c r="H200" s="515"/>
      <c r="I200" s="515"/>
      <c r="J200" s="515"/>
      <c r="K200" s="515"/>
      <c r="L200" s="515"/>
      <c r="M200" s="515"/>
      <c r="N200" s="143">
        <v>804</v>
      </c>
      <c r="O200" s="144">
        <v>10</v>
      </c>
      <c r="P200" s="144">
        <v>6</v>
      </c>
      <c r="Q200" s="145" t="s">
        <v>506</v>
      </c>
      <c r="R200" s="146" t="s">
        <v>24</v>
      </c>
      <c r="S200" s="500"/>
      <c r="T200" s="500"/>
      <c r="U200" s="164">
        <v>431.2</v>
      </c>
      <c r="V200" s="164">
        <v>0</v>
      </c>
      <c r="W200" s="164">
        <v>431.2</v>
      </c>
      <c r="X200" s="514"/>
      <c r="Y200" s="514"/>
      <c r="Z200" s="514"/>
      <c r="AA200" s="514"/>
      <c r="AB200" s="514"/>
      <c r="AC200" s="514"/>
      <c r="AD200" s="514"/>
      <c r="AE200" s="164"/>
      <c r="AF200" s="160"/>
      <c r="AG200" s="160">
        <f>+AG201</f>
        <v>94.698459999999997</v>
      </c>
      <c r="AH200" s="170">
        <f t="shared" si="3"/>
        <v>21.961609461966606</v>
      </c>
    </row>
    <row r="201" spans="1:34" ht="21.75" customHeight="1" x14ac:dyDescent="0.2">
      <c r="A201" s="141"/>
      <c r="B201" s="515" t="s">
        <v>346</v>
      </c>
      <c r="C201" s="515"/>
      <c r="D201" s="515"/>
      <c r="E201" s="515"/>
      <c r="F201" s="515"/>
      <c r="G201" s="515"/>
      <c r="H201" s="515"/>
      <c r="I201" s="515"/>
      <c r="J201" s="515"/>
      <c r="K201" s="515"/>
      <c r="L201" s="515"/>
      <c r="M201" s="515"/>
      <c r="N201" s="143">
        <v>804</v>
      </c>
      <c r="O201" s="144">
        <v>10</v>
      </c>
      <c r="P201" s="144">
        <v>6</v>
      </c>
      <c r="Q201" s="145" t="s">
        <v>506</v>
      </c>
      <c r="R201" s="146" t="s">
        <v>26</v>
      </c>
      <c r="S201" s="500"/>
      <c r="T201" s="500"/>
      <c r="U201" s="164">
        <v>431.2</v>
      </c>
      <c r="V201" s="164">
        <v>0</v>
      </c>
      <c r="W201" s="164">
        <v>431.2</v>
      </c>
      <c r="X201" s="514"/>
      <c r="Y201" s="514"/>
      <c r="Z201" s="514"/>
      <c r="AA201" s="514"/>
      <c r="AB201" s="514"/>
      <c r="AC201" s="514"/>
      <c r="AD201" s="514"/>
      <c r="AE201" s="164"/>
      <c r="AF201" s="160"/>
      <c r="AG201" s="160">
        <f>+AG202+AG203</f>
        <v>94.698459999999997</v>
      </c>
      <c r="AH201" s="170">
        <f t="shared" si="3"/>
        <v>21.961609461966606</v>
      </c>
    </row>
    <row r="202" spans="1:34" ht="21.75" customHeight="1" x14ac:dyDescent="0.2">
      <c r="A202" s="141"/>
      <c r="B202" s="515" t="s">
        <v>347</v>
      </c>
      <c r="C202" s="515"/>
      <c r="D202" s="515"/>
      <c r="E202" s="515"/>
      <c r="F202" s="515"/>
      <c r="G202" s="515"/>
      <c r="H202" s="515"/>
      <c r="I202" s="515"/>
      <c r="J202" s="515"/>
      <c r="K202" s="515"/>
      <c r="L202" s="515"/>
      <c r="M202" s="515"/>
      <c r="N202" s="143">
        <v>804</v>
      </c>
      <c r="O202" s="144">
        <v>10</v>
      </c>
      <c r="P202" s="144">
        <v>6</v>
      </c>
      <c r="Q202" s="145" t="s">
        <v>506</v>
      </c>
      <c r="R202" s="146" t="s">
        <v>27</v>
      </c>
      <c r="S202" s="500"/>
      <c r="T202" s="500"/>
      <c r="U202" s="164">
        <v>12.3</v>
      </c>
      <c r="V202" s="164">
        <v>0</v>
      </c>
      <c r="W202" s="164">
        <v>12.3</v>
      </c>
      <c r="X202" s="514"/>
      <c r="Y202" s="514"/>
      <c r="Z202" s="514"/>
      <c r="AA202" s="514"/>
      <c r="AB202" s="514"/>
      <c r="AC202" s="514"/>
      <c r="AD202" s="514"/>
      <c r="AE202" s="164"/>
      <c r="AF202" s="160"/>
      <c r="AG202" s="160"/>
      <c r="AH202" s="170">
        <f t="shared" si="3"/>
        <v>0</v>
      </c>
    </row>
    <row r="203" spans="1:34" ht="12" customHeight="1" x14ac:dyDescent="0.2">
      <c r="A203" s="141"/>
      <c r="B203" s="515" t="s">
        <v>348</v>
      </c>
      <c r="C203" s="515"/>
      <c r="D203" s="515"/>
      <c r="E203" s="515"/>
      <c r="F203" s="515"/>
      <c r="G203" s="515"/>
      <c r="H203" s="515"/>
      <c r="I203" s="515"/>
      <c r="J203" s="515"/>
      <c r="K203" s="515"/>
      <c r="L203" s="515"/>
      <c r="M203" s="515"/>
      <c r="N203" s="143">
        <v>804</v>
      </c>
      <c r="O203" s="144">
        <v>10</v>
      </c>
      <c r="P203" s="144">
        <v>6</v>
      </c>
      <c r="Q203" s="145" t="s">
        <v>506</v>
      </c>
      <c r="R203" s="146" t="s">
        <v>28</v>
      </c>
      <c r="S203" s="500"/>
      <c r="T203" s="500"/>
      <c r="U203" s="164">
        <v>418.9</v>
      </c>
      <c r="V203" s="164">
        <v>0</v>
      </c>
      <c r="W203" s="164">
        <v>418.9</v>
      </c>
      <c r="X203" s="514"/>
      <c r="Y203" s="514"/>
      <c r="Z203" s="514"/>
      <c r="AA203" s="514"/>
      <c r="AB203" s="514"/>
      <c r="AC203" s="514"/>
      <c r="AD203" s="514"/>
      <c r="AE203" s="164"/>
      <c r="AF203" s="160"/>
      <c r="AG203" s="160">
        <v>94.698459999999997</v>
      </c>
      <c r="AH203" s="170">
        <f t="shared" si="3"/>
        <v>22.606459775602769</v>
      </c>
    </row>
    <row r="204" spans="1:34" ht="21.75" customHeight="1" x14ac:dyDescent="0.2">
      <c r="A204" s="141"/>
      <c r="B204" s="515" t="s">
        <v>527</v>
      </c>
      <c r="C204" s="515"/>
      <c r="D204" s="515"/>
      <c r="E204" s="515"/>
      <c r="F204" s="515"/>
      <c r="G204" s="515"/>
      <c r="H204" s="515"/>
      <c r="I204" s="515"/>
      <c r="J204" s="515"/>
      <c r="K204" s="515"/>
      <c r="L204" s="515"/>
      <c r="M204" s="515"/>
      <c r="N204" s="143">
        <v>805</v>
      </c>
      <c r="O204" s="144">
        <v>0</v>
      </c>
      <c r="P204" s="144">
        <v>0</v>
      </c>
      <c r="Q204" s="145">
        <v>0</v>
      </c>
      <c r="R204" s="146">
        <v>0</v>
      </c>
      <c r="S204" s="500"/>
      <c r="T204" s="500"/>
      <c r="U204" s="164">
        <v>3492.6280000000002</v>
      </c>
      <c r="V204" s="164">
        <v>0</v>
      </c>
      <c r="W204" s="164">
        <v>3492.6280000000002</v>
      </c>
      <c r="X204" s="514"/>
      <c r="Y204" s="514"/>
      <c r="Z204" s="514"/>
      <c r="AA204" s="514"/>
      <c r="AB204" s="514"/>
      <c r="AC204" s="514"/>
      <c r="AD204" s="514"/>
      <c r="AE204" s="164"/>
      <c r="AF204" s="160"/>
      <c r="AG204" s="160">
        <f>+AG205</f>
        <v>892.60127999999997</v>
      </c>
      <c r="AH204" s="170">
        <f t="shared" si="3"/>
        <v>25.556723475846837</v>
      </c>
    </row>
    <row r="205" spans="1:34" ht="12" customHeight="1" x14ac:dyDescent="0.2">
      <c r="A205" s="141"/>
      <c r="B205" s="515" t="s">
        <v>415</v>
      </c>
      <c r="C205" s="515"/>
      <c r="D205" s="515"/>
      <c r="E205" s="515"/>
      <c r="F205" s="515"/>
      <c r="G205" s="515"/>
      <c r="H205" s="515"/>
      <c r="I205" s="515"/>
      <c r="J205" s="515"/>
      <c r="K205" s="515"/>
      <c r="L205" s="515"/>
      <c r="M205" s="515"/>
      <c r="N205" s="143">
        <v>805</v>
      </c>
      <c r="O205" s="144">
        <v>4</v>
      </c>
      <c r="P205" s="144">
        <v>0</v>
      </c>
      <c r="Q205" s="145">
        <v>0</v>
      </c>
      <c r="R205" s="146">
        <v>0</v>
      </c>
      <c r="S205" s="500"/>
      <c r="T205" s="500"/>
      <c r="U205" s="164">
        <v>3492.6280000000002</v>
      </c>
      <c r="V205" s="164">
        <v>0</v>
      </c>
      <c r="W205" s="164">
        <v>3492.6280000000002</v>
      </c>
      <c r="X205" s="514"/>
      <c r="Y205" s="514"/>
      <c r="Z205" s="514"/>
      <c r="AA205" s="514"/>
      <c r="AB205" s="514"/>
      <c r="AC205" s="514"/>
      <c r="AD205" s="514"/>
      <c r="AE205" s="164"/>
      <c r="AF205" s="160"/>
      <c r="AG205" s="160">
        <f>+AG206+AG235</f>
        <v>892.60127999999997</v>
      </c>
      <c r="AH205" s="170">
        <f t="shared" si="3"/>
        <v>25.556723475846837</v>
      </c>
    </row>
    <row r="206" spans="1:34" ht="12" customHeight="1" x14ac:dyDescent="0.2">
      <c r="A206" s="141"/>
      <c r="B206" s="515" t="s">
        <v>62</v>
      </c>
      <c r="C206" s="515"/>
      <c r="D206" s="515"/>
      <c r="E206" s="515"/>
      <c r="F206" s="515"/>
      <c r="G206" s="515"/>
      <c r="H206" s="515"/>
      <c r="I206" s="515"/>
      <c r="J206" s="515"/>
      <c r="K206" s="515"/>
      <c r="L206" s="515"/>
      <c r="M206" s="515"/>
      <c r="N206" s="143">
        <v>805</v>
      </c>
      <c r="O206" s="144">
        <v>4</v>
      </c>
      <c r="P206" s="144">
        <v>5</v>
      </c>
      <c r="Q206" s="145">
        <v>0</v>
      </c>
      <c r="R206" s="146">
        <v>0</v>
      </c>
      <c r="S206" s="500"/>
      <c r="T206" s="500"/>
      <c r="U206" s="164">
        <v>3115.4059999999999</v>
      </c>
      <c r="V206" s="164">
        <v>0</v>
      </c>
      <c r="W206" s="164">
        <v>3115.4059999999999</v>
      </c>
      <c r="X206" s="514"/>
      <c r="Y206" s="514"/>
      <c r="Z206" s="514"/>
      <c r="AA206" s="514"/>
      <c r="AB206" s="514"/>
      <c r="AC206" s="514"/>
      <c r="AD206" s="514"/>
      <c r="AE206" s="164"/>
      <c r="AF206" s="160"/>
      <c r="AG206" s="160">
        <f>+AG207+AG216</f>
        <v>802.11496</v>
      </c>
      <c r="AH206" s="170">
        <f t="shared" si="3"/>
        <v>25.74672322002333</v>
      </c>
    </row>
    <row r="207" spans="1:34" ht="21.75" customHeight="1" x14ac:dyDescent="0.2">
      <c r="A207" s="141"/>
      <c r="B207" s="515" t="s">
        <v>64</v>
      </c>
      <c r="C207" s="515"/>
      <c r="D207" s="515"/>
      <c r="E207" s="515"/>
      <c r="F207" s="515"/>
      <c r="G207" s="515"/>
      <c r="H207" s="515"/>
      <c r="I207" s="515"/>
      <c r="J207" s="515"/>
      <c r="K207" s="515"/>
      <c r="L207" s="515"/>
      <c r="M207" s="515"/>
      <c r="N207" s="143">
        <v>805</v>
      </c>
      <c r="O207" s="144">
        <v>4</v>
      </c>
      <c r="P207" s="144">
        <v>5</v>
      </c>
      <c r="Q207" s="145" t="s">
        <v>416</v>
      </c>
      <c r="R207" s="146">
        <v>0</v>
      </c>
      <c r="S207" s="500"/>
      <c r="T207" s="500"/>
      <c r="U207" s="164">
        <v>349</v>
      </c>
      <c r="V207" s="164">
        <v>0</v>
      </c>
      <c r="W207" s="164">
        <v>349</v>
      </c>
      <c r="X207" s="514"/>
      <c r="Y207" s="514"/>
      <c r="Z207" s="514"/>
      <c r="AA207" s="514"/>
      <c r="AB207" s="514"/>
      <c r="AC207" s="514"/>
      <c r="AD207" s="514"/>
      <c r="AE207" s="164"/>
      <c r="AF207" s="160"/>
      <c r="AG207" s="160">
        <f>+AG208</f>
        <v>25</v>
      </c>
      <c r="AH207" s="170">
        <f t="shared" si="3"/>
        <v>7.1633237822349569</v>
      </c>
    </row>
    <row r="208" spans="1:34" ht="32.25" customHeight="1" x14ac:dyDescent="0.2">
      <c r="A208" s="141"/>
      <c r="B208" s="515" t="s">
        <v>67</v>
      </c>
      <c r="C208" s="515"/>
      <c r="D208" s="515"/>
      <c r="E208" s="515"/>
      <c r="F208" s="515"/>
      <c r="G208" s="515"/>
      <c r="H208" s="515"/>
      <c r="I208" s="515"/>
      <c r="J208" s="515"/>
      <c r="K208" s="515"/>
      <c r="L208" s="515"/>
      <c r="M208" s="515"/>
      <c r="N208" s="143">
        <v>805</v>
      </c>
      <c r="O208" s="144">
        <v>4</v>
      </c>
      <c r="P208" s="144">
        <v>5</v>
      </c>
      <c r="Q208" s="145" t="s">
        <v>417</v>
      </c>
      <c r="R208" s="146">
        <v>0</v>
      </c>
      <c r="S208" s="500"/>
      <c r="T208" s="500"/>
      <c r="U208" s="164">
        <v>349</v>
      </c>
      <c r="V208" s="164">
        <v>0</v>
      </c>
      <c r="W208" s="164">
        <v>349</v>
      </c>
      <c r="X208" s="514"/>
      <c r="Y208" s="514"/>
      <c r="Z208" s="514"/>
      <c r="AA208" s="514"/>
      <c r="AB208" s="514"/>
      <c r="AC208" s="514"/>
      <c r="AD208" s="514"/>
      <c r="AE208" s="164"/>
      <c r="AF208" s="160"/>
      <c r="AG208" s="160">
        <f>+AG209</f>
        <v>25</v>
      </c>
      <c r="AH208" s="170">
        <f t="shared" si="3"/>
        <v>7.1633237822349569</v>
      </c>
    </row>
    <row r="209" spans="1:34" ht="12" customHeight="1" x14ac:dyDescent="0.2">
      <c r="A209" s="141"/>
      <c r="B209" s="515" t="s">
        <v>418</v>
      </c>
      <c r="C209" s="515"/>
      <c r="D209" s="515"/>
      <c r="E209" s="515"/>
      <c r="F209" s="515"/>
      <c r="G209" s="515"/>
      <c r="H209" s="515"/>
      <c r="I209" s="515"/>
      <c r="J209" s="515"/>
      <c r="K209" s="515"/>
      <c r="L209" s="515"/>
      <c r="M209" s="515"/>
      <c r="N209" s="143">
        <v>805</v>
      </c>
      <c r="O209" s="144">
        <v>4</v>
      </c>
      <c r="P209" s="144">
        <v>5</v>
      </c>
      <c r="Q209" s="145" t="s">
        <v>419</v>
      </c>
      <c r="R209" s="146">
        <v>0</v>
      </c>
      <c r="S209" s="500"/>
      <c r="T209" s="500"/>
      <c r="U209" s="164">
        <v>349</v>
      </c>
      <c r="V209" s="164">
        <v>0</v>
      </c>
      <c r="W209" s="164">
        <v>349</v>
      </c>
      <c r="X209" s="514"/>
      <c r="Y209" s="514"/>
      <c r="Z209" s="514"/>
      <c r="AA209" s="514"/>
      <c r="AB209" s="514"/>
      <c r="AC209" s="514"/>
      <c r="AD209" s="514"/>
      <c r="AE209" s="164"/>
      <c r="AF209" s="160"/>
      <c r="AG209" s="160">
        <f>+AG210+AG213</f>
        <v>25</v>
      </c>
      <c r="AH209" s="170">
        <f t="shared" si="3"/>
        <v>7.1633237822349569</v>
      </c>
    </row>
    <row r="210" spans="1:34" ht="21.75" customHeight="1" x14ac:dyDescent="0.2">
      <c r="A210" s="141"/>
      <c r="B210" s="515" t="s">
        <v>345</v>
      </c>
      <c r="C210" s="515"/>
      <c r="D210" s="515"/>
      <c r="E210" s="515"/>
      <c r="F210" s="515"/>
      <c r="G210" s="515"/>
      <c r="H210" s="515"/>
      <c r="I210" s="515"/>
      <c r="J210" s="515"/>
      <c r="K210" s="515"/>
      <c r="L210" s="515"/>
      <c r="M210" s="515"/>
      <c r="N210" s="143">
        <v>805</v>
      </c>
      <c r="O210" s="144">
        <v>4</v>
      </c>
      <c r="P210" s="144">
        <v>5</v>
      </c>
      <c r="Q210" s="145" t="s">
        <v>419</v>
      </c>
      <c r="R210" s="146" t="s">
        <v>24</v>
      </c>
      <c r="S210" s="500"/>
      <c r="T210" s="500"/>
      <c r="U210" s="164">
        <v>199</v>
      </c>
      <c r="V210" s="164">
        <v>0</v>
      </c>
      <c r="W210" s="164">
        <v>199</v>
      </c>
      <c r="X210" s="514"/>
      <c r="Y210" s="514"/>
      <c r="Z210" s="514"/>
      <c r="AA210" s="514"/>
      <c r="AB210" s="514"/>
      <c r="AC210" s="514"/>
      <c r="AD210" s="514"/>
      <c r="AE210" s="164"/>
      <c r="AF210" s="160"/>
      <c r="AG210" s="160">
        <f>+AG211</f>
        <v>25</v>
      </c>
      <c r="AH210" s="170">
        <f t="shared" si="3"/>
        <v>12.562814070351758</v>
      </c>
    </row>
    <row r="211" spans="1:34" ht="21.75" customHeight="1" x14ac:dyDescent="0.2">
      <c r="A211" s="141"/>
      <c r="B211" s="515" t="s">
        <v>346</v>
      </c>
      <c r="C211" s="515"/>
      <c r="D211" s="515"/>
      <c r="E211" s="515"/>
      <c r="F211" s="515"/>
      <c r="G211" s="515"/>
      <c r="H211" s="515"/>
      <c r="I211" s="515"/>
      <c r="J211" s="515"/>
      <c r="K211" s="515"/>
      <c r="L211" s="515"/>
      <c r="M211" s="515"/>
      <c r="N211" s="143">
        <v>805</v>
      </c>
      <c r="O211" s="144">
        <v>4</v>
      </c>
      <c r="P211" s="144">
        <v>5</v>
      </c>
      <c r="Q211" s="145" t="s">
        <v>419</v>
      </c>
      <c r="R211" s="146" t="s">
        <v>26</v>
      </c>
      <c r="S211" s="500"/>
      <c r="T211" s="500"/>
      <c r="U211" s="164">
        <v>199</v>
      </c>
      <c r="V211" s="164">
        <v>0</v>
      </c>
      <c r="W211" s="164">
        <v>199</v>
      </c>
      <c r="X211" s="514"/>
      <c r="Y211" s="514"/>
      <c r="Z211" s="514"/>
      <c r="AA211" s="514"/>
      <c r="AB211" s="514"/>
      <c r="AC211" s="514"/>
      <c r="AD211" s="514"/>
      <c r="AE211" s="164"/>
      <c r="AF211" s="160"/>
      <c r="AG211" s="160">
        <f>+AG212</f>
        <v>25</v>
      </c>
      <c r="AH211" s="170">
        <f t="shared" si="3"/>
        <v>12.562814070351758</v>
      </c>
    </row>
    <row r="212" spans="1:34" ht="12" customHeight="1" x14ac:dyDescent="0.2">
      <c r="A212" s="141"/>
      <c r="B212" s="515" t="s">
        <v>348</v>
      </c>
      <c r="C212" s="515"/>
      <c r="D212" s="515"/>
      <c r="E212" s="515"/>
      <c r="F212" s="515"/>
      <c r="G212" s="515"/>
      <c r="H212" s="515"/>
      <c r="I212" s="515"/>
      <c r="J212" s="515"/>
      <c r="K212" s="515"/>
      <c r="L212" s="515"/>
      <c r="M212" s="515"/>
      <c r="N212" s="143">
        <v>805</v>
      </c>
      <c r="O212" s="144">
        <v>4</v>
      </c>
      <c r="P212" s="144">
        <v>5</v>
      </c>
      <c r="Q212" s="145" t="s">
        <v>419</v>
      </c>
      <c r="R212" s="146" t="s">
        <v>28</v>
      </c>
      <c r="S212" s="500"/>
      <c r="T212" s="500"/>
      <c r="U212" s="164">
        <v>199</v>
      </c>
      <c r="V212" s="164">
        <v>0</v>
      </c>
      <c r="W212" s="164">
        <v>199</v>
      </c>
      <c r="X212" s="514"/>
      <c r="Y212" s="514"/>
      <c r="Z212" s="514"/>
      <c r="AA212" s="514"/>
      <c r="AB212" s="514"/>
      <c r="AC212" s="514"/>
      <c r="AD212" s="514"/>
      <c r="AE212" s="164"/>
      <c r="AF212" s="160"/>
      <c r="AG212" s="160">
        <v>25</v>
      </c>
      <c r="AH212" s="170">
        <f t="shared" si="3"/>
        <v>12.562814070351758</v>
      </c>
    </row>
    <row r="213" spans="1:34" ht="12" customHeight="1" x14ac:dyDescent="0.2">
      <c r="A213" s="141"/>
      <c r="B213" s="515" t="s">
        <v>29</v>
      </c>
      <c r="C213" s="515"/>
      <c r="D213" s="515"/>
      <c r="E213" s="515"/>
      <c r="F213" s="515"/>
      <c r="G213" s="515"/>
      <c r="H213" s="515"/>
      <c r="I213" s="515"/>
      <c r="J213" s="515"/>
      <c r="K213" s="515"/>
      <c r="L213" s="515"/>
      <c r="M213" s="515"/>
      <c r="N213" s="143">
        <v>805</v>
      </c>
      <c r="O213" s="144">
        <v>4</v>
      </c>
      <c r="P213" s="144">
        <v>5</v>
      </c>
      <c r="Q213" s="145" t="s">
        <v>419</v>
      </c>
      <c r="R213" s="146" t="s">
        <v>30</v>
      </c>
      <c r="S213" s="500"/>
      <c r="T213" s="500"/>
      <c r="U213" s="164">
        <v>150</v>
      </c>
      <c r="V213" s="164">
        <v>0</v>
      </c>
      <c r="W213" s="164">
        <v>150</v>
      </c>
      <c r="X213" s="514"/>
      <c r="Y213" s="514"/>
      <c r="Z213" s="514"/>
      <c r="AA213" s="514"/>
      <c r="AB213" s="514"/>
      <c r="AC213" s="514"/>
      <c r="AD213" s="514"/>
      <c r="AE213" s="164"/>
      <c r="AF213" s="160"/>
      <c r="AG213" s="160">
        <f>+AG214</f>
        <v>0</v>
      </c>
      <c r="AH213" s="170">
        <f t="shared" si="3"/>
        <v>0</v>
      </c>
    </row>
    <row r="214" spans="1:34" ht="42.75" customHeight="1" x14ac:dyDescent="0.2">
      <c r="A214" s="141"/>
      <c r="B214" s="515" t="s">
        <v>420</v>
      </c>
      <c r="C214" s="515"/>
      <c r="D214" s="515"/>
      <c r="E214" s="515"/>
      <c r="F214" s="515"/>
      <c r="G214" s="515"/>
      <c r="H214" s="515"/>
      <c r="I214" s="515"/>
      <c r="J214" s="515"/>
      <c r="K214" s="515"/>
      <c r="L214" s="515"/>
      <c r="M214" s="515"/>
      <c r="N214" s="143">
        <v>805</v>
      </c>
      <c r="O214" s="144">
        <v>4</v>
      </c>
      <c r="P214" s="144">
        <v>5</v>
      </c>
      <c r="Q214" s="145" t="s">
        <v>419</v>
      </c>
      <c r="R214" s="146" t="s">
        <v>66</v>
      </c>
      <c r="S214" s="500"/>
      <c r="T214" s="500"/>
      <c r="U214" s="164">
        <v>150</v>
      </c>
      <c r="V214" s="164">
        <v>0</v>
      </c>
      <c r="W214" s="164">
        <v>150</v>
      </c>
      <c r="X214" s="514"/>
      <c r="Y214" s="514"/>
      <c r="Z214" s="514"/>
      <c r="AA214" s="514"/>
      <c r="AB214" s="514"/>
      <c r="AC214" s="514"/>
      <c r="AD214" s="514"/>
      <c r="AE214" s="164"/>
      <c r="AF214" s="160"/>
      <c r="AG214" s="160">
        <f>+AG215</f>
        <v>0</v>
      </c>
      <c r="AH214" s="170">
        <f t="shared" si="3"/>
        <v>0</v>
      </c>
    </row>
    <row r="215" spans="1:34" ht="74.25" customHeight="1" x14ac:dyDescent="0.2">
      <c r="A215" s="141"/>
      <c r="B215" s="515" t="s">
        <v>557</v>
      </c>
      <c r="C215" s="515"/>
      <c r="D215" s="515"/>
      <c r="E215" s="515"/>
      <c r="F215" s="515"/>
      <c r="G215" s="515"/>
      <c r="H215" s="515"/>
      <c r="I215" s="515"/>
      <c r="J215" s="515"/>
      <c r="K215" s="515"/>
      <c r="L215" s="515"/>
      <c r="M215" s="515"/>
      <c r="N215" s="143">
        <v>805</v>
      </c>
      <c r="O215" s="144">
        <v>4</v>
      </c>
      <c r="P215" s="144">
        <v>5</v>
      </c>
      <c r="Q215" s="145" t="s">
        <v>419</v>
      </c>
      <c r="R215" s="146" t="s">
        <v>558</v>
      </c>
      <c r="S215" s="500"/>
      <c r="T215" s="500"/>
      <c r="U215" s="164">
        <v>150</v>
      </c>
      <c r="V215" s="164">
        <v>0</v>
      </c>
      <c r="W215" s="164">
        <v>150</v>
      </c>
      <c r="X215" s="514"/>
      <c r="Y215" s="514"/>
      <c r="Z215" s="514"/>
      <c r="AA215" s="514"/>
      <c r="AB215" s="514"/>
      <c r="AC215" s="514"/>
      <c r="AD215" s="514"/>
      <c r="AE215" s="164"/>
      <c r="AF215" s="160"/>
      <c r="AG215" s="160"/>
      <c r="AH215" s="170">
        <f t="shared" ref="AH215:AH278" si="5">AG215/U215*100</f>
        <v>0</v>
      </c>
    </row>
    <row r="216" spans="1:34" ht="21.75" customHeight="1" x14ac:dyDescent="0.2">
      <c r="A216" s="141"/>
      <c r="B216" s="515" t="s">
        <v>59</v>
      </c>
      <c r="C216" s="515"/>
      <c r="D216" s="515"/>
      <c r="E216" s="515"/>
      <c r="F216" s="515"/>
      <c r="G216" s="515"/>
      <c r="H216" s="515"/>
      <c r="I216" s="515"/>
      <c r="J216" s="515"/>
      <c r="K216" s="515"/>
      <c r="L216" s="515"/>
      <c r="M216" s="515"/>
      <c r="N216" s="143">
        <v>805</v>
      </c>
      <c r="O216" s="144">
        <v>4</v>
      </c>
      <c r="P216" s="144">
        <v>5</v>
      </c>
      <c r="Q216" s="145" t="s">
        <v>361</v>
      </c>
      <c r="R216" s="146">
        <v>0</v>
      </c>
      <c r="S216" s="500"/>
      <c r="T216" s="500"/>
      <c r="U216" s="164">
        <v>2766.4059999999999</v>
      </c>
      <c r="V216" s="164">
        <v>0</v>
      </c>
      <c r="W216" s="164">
        <v>2766.4059999999999</v>
      </c>
      <c r="X216" s="514"/>
      <c r="Y216" s="514"/>
      <c r="Z216" s="514"/>
      <c r="AA216" s="514"/>
      <c r="AB216" s="514"/>
      <c r="AC216" s="514"/>
      <c r="AD216" s="514"/>
      <c r="AE216" s="164"/>
      <c r="AF216" s="160"/>
      <c r="AG216" s="160">
        <f>+AG217+AG222+AG231</f>
        <v>777.11496</v>
      </c>
      <c r="AH216" s="170">
        <f t="shared" si="5"/>
        <v>28.091139189258556</v>
      </c>
    </row>
    <row r="217" spans="1:34" ht="42.75" customHeight="1" x14ac:dyDescent="0.2">
      <c r="A217" s="141"/>
      <c r="B217" s="515" t="s">
        <v>362</v>
      </c>
      <c r="C217" s="515"/>
      <c r="D217" s="515"/>
      <c r="E217" s="515"/>
      <c r="F217" s="515"/>
      <c r="G217" s="515"/>
      <c r="H217" s="515"/>
      <c r="I217" s="515"/>
      <c r="J217" s="515"/>
      <c r="K217" s="515"/>
      <c r="L217" s="515"/>
      <c r="M217" s="515"/>
      <c r="N217" s="143">
        <v>805</v>
      </c>
      <c r="O217" s="144">
        <v>4</v>
      </c>
      <c r="P217" s="144">
        <v>5</v>
      </c>
      <c r="Q217" s="145" t="s">
        <v>363</v>
      </c>
      <c r="R217" s="146">
        <v>0</v>
      </c>
      <c r="S217" s="500"/>
      <c r="T217" s="500"/>
      <c r="U217" s="164">
        <v>2224.7429999999999</v>
      </c>
      <c r="V217" s="164">
        <v>0</v>
      </c>
      <c r="W217" s="164">
        <v>2224.7429999999999</v>
      </c>
      <c r="X217" s="514"/>
      <c r="Y217" s="514"/>
      <c r="Z217" s="514"/>
      <c r="AA217" s="514"/>
      <c r="AB217" s="514"/>
      <c r="AC217" s="514"/>
      <c r="AD217" s="514"/>
      <c r="AE217" s="164"/>
      <c r="AF217" s="160"/>
      <c r="AG217" s="160">
        <f>+AG218</f>
        <v>678.43030999999996</v>
      </c>
      <c r="AH217" s="170">
        <f t="shared" si="5"/>
        <v>30.49477220514909</v>
      </c>
    </row>
    <row r="218" spans="1:34" ht="53.25" customHeight="1" x14ac:dyDescent="0.2">
      <c r="A218" s="141"/>
      <c r="B218" s="515" t="s">
        <v>17</v>
      </c>
      <c r="C218" s="515"/>
      <c r="D218" s="515"/>
      <c r="E218" s="515"/>
      <c r="F218" s="515"/>
      <c r="G218" s="515"/>
      <c r="H218" s="515"/>
      <c r="I218" s="515"/>
      <c r="J218" s="515"/>
      <c r="K218" s="515"/>
      <c r="L218" s="515"/>
      <c r="M218" s="515"/>
      <c r="N218" s="143">
        <v>805</v>
      </c>
      <c r="O218" s="144">
        <v>4</v>
      </c>
      <c r="P218" s="144">
        <v>5</v>
      </c>
      <c r="Q218" s="145" t="s">
        <v>363</v>
      </c>
      <c r="R218" s="146" t="s">
        <v>18</v>
      </c>
      <c r="S218" s="500"/>
      <c r="T218" s="500"/>
      <c r="U218" s="164">
        <v>2224.7429999999999</v>
      </c>
      <c r="V218" s="164">
        <v>0</v>
      </c>
      <c r="W218" s="164">
        <v>2224.7429999999999</v>
      </c>
      <c r="X218" s="514"/>
      <c r="Y218" s="514"/>
      <c r="Z218" s="514"/>
      <c r="AA218" s="514"/>
      <c r="AB218" s="514"/>
      <c r="AC218" s="514"/>
      <c r="AD218" s="514"/>
      <c r="AE218" s="164"/>
      <c r="AF218" s="160"/>
      <c r="AG218" s="160">
        <f>+AG219</f>
        <v>678.43030999999996</v>
      </c>
      <c r="AH218" s="170">
        <f t="shared" si="5"/>
        <v>30.49477220514909</v>
      </c>
    </row>
    <row r="219" spans="1:34" ht="21.75" customHeight="1" x14ac:dyDescent="0.2">
      <c r="A219" s="141"/>
      <c r="B219" s="515" t="s">
        <v>37</v>
      </c>
      <c r="C219" s="515"/>
      <c r="D219" s="515"/>
      <c r="E219" s="515"/>
      <c r="F219" s="515"/>
      <c r="G219" s="515"/>
      <c r="H219" s="515"/>
      <c r="I219" s="515"/>
      <c r="J219" s="515"/>
      <c r="K219" s="515"/>
      <c r="L219" s="515"/>
      <c r="M219" s="515"/>
      <c r="N219" s="143">
        <v>805</v>
      </c>
      <c r="O219" s="144">
        <v>4</v>
      </c>
      <c r="P219" s="144">
        <v>5</v>
      </c>
      <c r="Q219" s="145" t="s">
        <v>363</v>
      </c>
      <c r="R219" s="146" t="s">
        <v>38</v>
      </c>
      <c r="S219" s="500"/>
      <c r="T219" s="500"/>
      <c r="U219" s="164">
        <v>2224.7429999999999</v>
      </c>
      <c r="V219" s="164">
        <v>0</v>
      </c>
      <c r="W219" s="164">
        <v>2224.7429999999999</v>
      </c>
      <c r="X219" s="514"/>
      <c r="Y219" s="514"/>
      <c r="Z219" s="514"/>
      <c r="AA219" s="514"/>
      <c r="AB219" s="514"/>
      <c r="AC219" s="514"/>
      <c r="AD219" s="514"/>
      <c r="AE219" s="164"/>
      <c r="AF219" s="160"/>
      <c r="AG219" s="160">
        <f>+AG220+AG221</f>
        <v>678.43030999999996</v>
      </c>
      <c r="AH219" s="170">
        <f t="shared" si="5"/>
        <v>30.49477220514909</v>
      </c>
    </row>
    <row r="220" spans="1:34" ht="21.75" customHeight="1" x14ac:dyDescent="0.2">
      <c r="A220" s="141"/>
      <c r="B220" s="515" t="s">
        <v>333</v>
      </c>
      <c r="C220" s="515"/>
      <c r="D220" s="515"/>
      <c r="E220" s="515"/>
      <c r="F220" s="515"/>
      <c r="G220" s="515"/>
      <c r="H220" s="515"/>
      <c r="I220" s="515"/>
      <c r="J220" s="515"/>
      <c r="K220" s="515"/>
      <c r="L220" s="515"/>
      <c r="M220" s="515"/>
      <c r="N220" s="143">
        <v>805</v>
      </c>
      <c r="O220" s="144">
        <v>4</v>
      </c>
      <c r="P220" s="144">
        <v>5</v>
      </c>
      <c r="Q220" s="145" t="s">
        <v>363</v>
      </c>
      <c r="R220" s="146" t="s">
        <v>39</v>
      </c>
      <c r="S220" s="500"/>
      <c r="T220" s="500"/>
      <c r="U220" s="164">
        <v>1708.712</v>
      </c>
      <c r="V220" s="164">
        <v>0</v>
      </c>
      <c r="W220" s="164">
        <v>1708.712</v>
      </c>
      <c r="X220" s="514"/>
      <c r="Y220" s="514"/>
      <c r="Z220" s="514"/>
      <c r="AA220" s="514"/>
      <c r="AB220" s="514"/>
      <c r="AC220" s="514"/>
      <c r="AD220" s="514"/>
      <c r="AE220" s="164"/>
      <c r="AF220" s="160"/>
      <c r="AG220" s="160">
        <v>521.06782999999996</v>
      </c>
      <c r="AH220" s="170">
        <f t="shared" si="5"/>
        <v>30.494772085641113</v>
      </c>
    </row>
    <row r="221" spans="1:34" ht="32.25" customHeight="1" x14ac:dyDescent="0.2">
      <c r="A221" s="141"/>
      <c r="B221" s="515" t="s">
        <v>334</v>
      </c>
      <c r="C221" s="515"/>
      <c r="D221" s="515"/>
      <c r="E221" s="515"/>
      <c r="F221" s="515"/>
      <c r="G221" s="515"/>
      <c r="H221" s="515"/>
      <c r="I221" s="515"/>
      <c r="J221" s="515"/>
      <c r="K221" s="515"/>
      <c r="L221" s="515"/>
      <c r="M221" s="515"/>
      <c r="N221" s="143">
        <v>805</v>
      </c>
      <c r="O221" s="144">
        <v>4</v>
      </c>
      <c r="P221" s="144">
        <v>5</v>
      </c>
      <c r="Q221" s="145" t="s">
        <v>363</v>
      </c>
      <c r="R221" s="146" t="s">
        <v>41</v>
      </c>
      <c r="S221" s="500"/>
      <c r="T221" s="500"/>
      <c r="U221" s="164">
        <v>516.03099999999995</v>
      </c>
      <c r="V221" s="164">
        <v>0</v>
      </c>
      <c r="W221" s="164">
        <v>516.03099999999995</v>
      </c>
      <c r="X221" s="514"/>
      <c r="Y221" s="514"/>
      <c r="Z221" s="514"/>
      <c r="AA221" s="514"/>
      <c r="AB221" s="514"/>
      <c r="AC221" s="514"/>
      <c r="AD221" s="514"/>
      <c r="AE221" s="164"/>
      <c r="AF221" s="160"/>
      <c r="AG221" s="160">
        <v>157.36248000000001</v>
      </c>
      <c r="AH221" s="170">
        <f t="shared" si="5"/>
        <v>30.494772600870885</v>
      </c>
    </row>
    <row r="222" spans="1:34" ht="21.75" customHeight="1" x14ac:dyDescent="0.2">
      <c r="A222" s="141"/>
      <c r="B222" s="515" t="s">
        <v>59</v>
      </c>
      <c r="C222" s="515"/>
      <c r="D222" s="515"/>
      <c r="E222" s="515"/>
      <c r="F222" s="515"/>
      <c r="G222" s="515"/>
      <c r="H222" s="515"/>
      <c r="I222" s="515"/>
      <c r="J222" s="515"/>
      <c r="K222" s="515"/>
      <c r="L222" s="515"/>
      <c r="M222" s="515"/>
      <c r="N222" s="143">
        <v>805</v>
      </c>
      <c r="O222" s="144">
        <v>4</v>
      </c>
      <c r="P222" s="144">
        <v>5</v>
      </c>
      <c r="Q222" s="145" t="s">
        <v>364</v>
      </c>
      <c r="R222" s="146">
        <v>0</v>
      </c>
      <c r="S222" s="500"/>
      <c r="T222" s="500"/>
      <c r="U222" s="164">
        <v>520.48699999999997</v>
      </c>
      <c r="V222" s="164">
        <v>0</v>
      </c>
      <c r="W222" s="164">
        <v>520.48699999999997</v>
      </c>
      <c r="X222" s="514"/>
      <c r="Y222" s="514"/>
      <c r="Z222" s="514"/>
      <c r="AA222" s="514"/>
      <c r="AB222" s="514"/>
      <c r="AC222" s="514"/>
      <c r="AD222" s="514"/>
      <c r="AE222" s="164"/>
      <c r="AF222" s="160"/>
      <c r="AG222" s="160">
        <f>+AG223+AG227</f>
        <v>98.684650000000005</v>
      </c>
      <c r="AH222" s="170">
        <f t="shared" si="5"/>
        <v>18.96006048181799</v>
      </c>
    </row>
    <row r="223" spans="1:34" ht="21.75" customHeight="1" x14ac:dyDescent="0.2">
      <c r="A223" s="141"/>
      <c r="B223" s="515" t="s">
        <v>345</v>
      </c>
      <c r="C223" s="515"/>
      <c r="D223" s="515"/>
      <c r="E223" s="515"/>
      <c r="F223" s="515"/>
      <c r="G223" s="515"/>
      <c r="H223" s="515"/>
      <c r="I223" s="515"/>
      <c r="J223" s="515"/>
      <c r="K223" s="515"/>
      <c r="L223" s="515"/>
      <c r="M223" s="515"/>
      <c r="N223" s="143">
        <v>805</v>
      </c>
      <c r="O223" s="144">
        <v>4</v>
      </c>
      <c r="P223" s="144">
        <v>5</v>
      </c>
      <c r="Q223" s="145" t="s">
        <v>364</v>
      </c>
      <c r="R223" s="146" t="s">
        <v>24</v>
      </c>
      <c r="S223" s="500"/>
      <c r="T223" s="500"/>
      <c r="U223" s="164">
        <v>502.24700000000001</v>
      </c>
      <c r="V223" s="164">
        <v>0</v>
      </c>
      <c r="W223" s="164">
        <v>502.24700000000001</v>
      </c>
      <c r="X223" s="514"/>
      <c r="Y223" s="514"/>
      <c r="Z223" s="514"/>
      <c r="AA223" s="514"/>
      <c r="AB223" s="514"/>
      <c r="AC223" s="514"/>
      <c r="AD223" s="514"/>
      <c r="AE223" s="164"/>
      <c r="AF223" s="160"/>
      <c r="AG223" s="160">
        <f>+AG224</f>
        <v>94.475650000000002</v>
      </c>
      <c r="AH223" s="170">
        <f t="shared" si="5"/>
        <v>18.810595185237542</v>
      </c>
    </row>
    <row r="224" spans="1:34" ht="21.75" customHeight="1" x14ac:dyDescent="0.2">
      <c r="A224" s="141"/>
      <c r="B224" s="515" t="s">
        <v>346</v>
      </c>
      <c r="C224" s="515"/>
      <c r="D224" s="515"/>
      <c r="E224" s="515"/>
      <c r="F224" s="515"/>
      <c r="G224" s="515"/>
      <c r="H224" s="515"/>
      <c r="I224" s="515"/>
      <c r="J224" s="515"/>
      <c r="K224" s="515"/>
      <c r="L224" s="515"/>
      <c r="M224" s="515"/>
      <c r="N224" s="143">
        <v>805</v>
      </c>
      <c r="O224" s="144">
        <v>4</v>
      </c>
      <c r="P224" s="144">
        <v>5</v>
      </c>
      <c r="Q224" s="145" t="s">
        <v>364</v>
      </c>
      <c r="R224" s="146" t="s">
        <v>26</v>
      </c>
      <c r="S224" s="500"/>
      <c r="T224" s="500"/>
      <c r="U224" s="164">
        <v>502.24700000000001</v>
      </c>
      <c r="V224" s="164">
        <v>0</v>
      </c>
      <c r="W224" s="164">
        <v>502.24700000000001</v>
      </c>
      <c r="X224" s="514"/>
      <c r="Y224" s="514"/>
      <c r="Z224" s="514"/>
      <c r="AA224" s="514"/>
      <c r="AB224" s="514"/>
      <c r="AC224" s="514"/>
      <c r="AD224" s="514"/>
      <c r="AE224" s="164"/>
      <c r="AF224" s="160"/>
      <c r="AG224" s="160">
        <f>+AG225+AG226</f>
        <v>94.475650000000002</v>
      </c>
      <c r="AH224" s="170">
        <f t="shared" si="5"/>
        <v>18.810595185237542</v>
      </c>
    </row>
    <row r="225" spans="1:34" ht="21.75" customHeight="1" x14ac:dyDescent="0.2">
      <c r="A225" s="141"/>
      <c r="B225" s="515" t="s">
        <v>347</v>
      </c>
      <c r="C225" s="515"/>
      <c r="D225" s="515"/>
      <c r="E225" s="515"/>
      <c r="F225" s="515"/>
      <c r="G225" s="515"/>
      <c r="H225" s="515"/>
      <c r="I225" s="515"/>
      <c r="J225" s="515"/>
      <c r="K225" s="515"/>
      <c r="L225" s="515"/>
      <c r="M225" s="515"/>
      <c r="N225" s="143">
        <v>805</v>
      </c>
      <c r="O225" s="144">
        <v>4</v>
      </c>
      <c r="P225" s="144">
        <v>5</v>
      </c>
      <c r="Q225" s="145" t="s">
        <v>364</v>
      </c>
      <c r="R225" s="146" t="s">
        <v>27</v>
      </c>
      <c r="S225" s="500"/>
      <c r="T225" s="500"/>
      <c r="U225" s="164">
        <v>147.709</v>
      </c>
      <c r="V225" s="164">
        <v>0</v>
      </c>
      <c r="W225" s="164">
        <v>147.709</v>
      </c>
      <c r="X225" s="514"/>
      <c r="Y225" s="514"/>
      <c r="Z225" s="514"/>
      <c r="AA225" s="514"/>
      <c r="AB225" s="514"/>
      <c r="AC225" s="514"/>
      <c r="AD225" s="514"/>
      <c r="AE225" s="164"/>
      <c r="AF225" s="160"/>
      <c r="AG225" s="160">
        <v>7.8756500000000003</v>
      </c>
      <c r="AH225" s="170">
        <f t="shared" si="5"/>
        <v>5.3318687419182309</v>
      </c>
    </row>
    <row r="226" spans="1:34" ht="12" customHeight="1" x14ac:dyDescent="0.2">
      <c r="A226" s="141"/>
      <c r="B226" s="515" t="s">
        <v>348</v>
      </c>
      <c r="C226" s="515"/>
      <c r="D226" s="515"/>
      <c r="E226" s="515"/>
      <c r="F226" s="515"/>
      <c r="G226" s="515"/>
      <c r="H226" s="515"/>
      <c r="I226" s="515"/>
      <c r="J226" s="515"/>
      <c r="K226" s="515"/>
      <c r="L226" s="515"/>
      <c r="M226" s="515"/>
      <c r="N226" s="143">
        <v>805</v>
      </c>
      <c r="O226" s="144">
        <v>4</v>
      </c>
      <c r="P226" s="144">
        <v>5</v>
      </c>
      <c r="Q226" s="145" t="s">
        <v>364</v>
      </c>
      <c r="R226" s="146" t="s">
        <v>28</v>
      </c>
      <c r="S226" s="500"/>
      <c r="T226" s="500"/>
      <c r="U226" s="164">
        <v>354.53800000000001</v>
      </c>
      <c r="V226" s="164">
        <v>0</v>
      </c>
      <c r="W226" s="164">
        <v>354.53800000000001</v>
      </c>
      <c r="X226" s="514"/>
      <c r="Y226" s="514"/>
      <c r="Z226" s="514"/>
      <c r="AA226" s="514"/>
      <c r="AB226" s="514"/>
      <c r="AC226" s="514"/>
      <c r="AD226" s="514"/>
      <c r="AE226" s="164"/>
      <c r="AF226" s="160"/>
      <c r="AG226" s="160">
        <v>86.6</v>
      </c>
      <c r="AH226" s="170">
        <f t="shared" si="5"/>
        <v>24.426154601199304</v>
      </c>
    </row>
    <row r="227" spans="1:34" ht="12" customHeight="1" x14ac:dyDescent="0.2">
      <c r="A227" s="141"/>
      <c r="B227" s="515" t="s">
        <v>29</v>
      </c>
      <c r="C227" s="515"/>
      <c r="D227" s="515"/>
      <c r="E227" s="515"/>
      <c r="F227" s="515"/>
      <c r="G227" s="515"/>
      <c r="H227" s="515"/>
      <c r="I227" s="515"/>
      <c r="J227" s="515"/>
      <c r="K227" s="515"/>
      <c r="L227" s="515"/>
      <c r="M227" s="515"/>
      <c r="N227" s="143">
        <v>805</v>
      </c>
      <c r="O227" s="144">
        <v>4</v>
      </c>
      <c r="P227" s="144">
        <v>5</v>
      </c>
      <c r="Q227" s="145" t="s">
        <v>364</v>
      </c>
      <c r="R227" s="146" t="s">
        <v>30</v>
      </c>
      <c r="S227" s="500"/>
      <c r="T227" s="500"/>
      <c r="U227" s="164">
        <v>18.239999999999998</v>
      </c>
      <c r="V227" s="164">
        <v>0</v>
      </c>
      <c r="W227" s="164">
        <v>18.239999999999998</v>
      </c>
      <c r="X227" s="514"/>
      <c r="Y227" s="514"/>
      <c r="Z227" s="514"/>
      <c r="AA227" s="514"/>
      <c r="AB227" s="514"/>
      <c r="AC227" s="514"/>
      <c r="AD227" s="514"/>
      <c r="AE227" s="164"/>
      <c r="AF227" s="160"/>
      <c r="AG227" s="160">
        <f>+AG228</f>
        <v>4.2089999999999996</v>
      </c>
      <c r="AH227" s="170">
        <f t="shared" si="5"/>
        <v>23.075657894736842</v>
      </c>
    </row>
    <row r="228" spans="1:34" ht="12" customHeight="1" x14ac:dyDescent="0.2">
      <c r="A228" s="141"/>
      <c r="B228" s="515" t="s">
        <v>349</v>
      </c>
      <c r="C228" s="515"/>
      <c r="D228" s="515"/>
      <c r="E228" s="515"/>
      <c r="F228" s="515"/>
      <c r="G228" s="515"/>
      <c r="H228" s="515"/>
      <c r="I228" s="515"/>
      <c r="J228" s="515"/>
      <c r="K228" s="515"/>
      <c r="L228" s="515"/>
      <c r="M228" s="515"/>
      <c r="N228" s="143">
        <v>805</v>
      </c>
      <c r="O228" s="144">
        <v>4</v>
      </c>
      <c r="P228" s="144">
        <v>5</v>
      </c>
      <c r="Q228" s="145" t="s">
        <v>364</v>
      </c>
      <c r="R228" s="146" t="s">
        <v>31</v>
      </c>
      <c r="S228" s="500"/>
      <c r="T228" s="500"/>
      <c r="U228" s="164">
        <v>18.239999999999998</v>
      </c>
      <c r="V228" s="164">
        <v>0</v>
      </c>
      <c r="W228" s="164">
        <v>18.239999999999998</v>
      </c>
      <c r="X228" s="514"/>
      <c r="Y228" s="514"/>
      <c r="Z228" s="514"/>
      <c r="AA228" s="514"/>
      <c r="AB228" s="514"/>
      <c r="AC228" s="514"/>
      <c r="AD228" s="514"/>
      <c r="AE228" s="164"/>
      <c r="AF228" s="160"/>
      <c r="AG228" s="160">
        <f>+AG229+AG230</f>
        <v>4.2089999999999996</v>
      </c>
      <c r="AH228" s="170">
        <f t="shared" si="5"/>
        <v>23.075657894736842</v>
      </c>
    </row>
    <row r="229" spans="1:34" ht="21.75" customHeight="1" x14ac:dyDescent="0.2">
      <c r="A229" s="141"/>
      <c r="B229" s="515" t="s">
        <v>32</v>
      </c>
      <c r="C229" s="515"/>
      <c r="D229" s="515"/>
      <c r="E229" s="515"/>
      <c r="F229" s="515"/>
      <c r="G229" s="515"/>
      <c r="H229" s="515"/>
      <c r="I229" s="515"/>
      <c r="J229" s="515"/>
      <c r="K229" s="515"/>
      <c r="L229" s="515"/>
      <c r="M229" s="515"/>
      <c r="N229" s="143">
        <v>805</v>
      </c>
      <c r="O229" s="144">
        <v>4</v>
      </c>
      <c r="P229" s="144">
        <v>5</v>
      </c>
      <c r="Q229" s="145" t="s">
        <v>364</v>
      </c>
      <c r="R229" s="146" t="s">
        <v>33</v>
      </c>
      <c r="S229" s="500"/>
      <c r="T229" s="500"/>
      <c r="U229" s="164">
        <v>14.6</v>
      </c>
      <c r="V229" s="164">
        <v>0</v>
      </c>
      <c r="W229" s="164">
        <v>14.6</v>
      </c>
      <c r="X229" s="514"/>
      <c r="Y229" s="514"/>
      <c r="Z229" s="514"/>
      <c r="AA229" s="514"/>
      <c r="AB229" s="514"/>
      <c r="AC229" s="514"/>
      <c r="AD229" s="514"/>
      <c r="AE229" s="164"/>
      <c r="AF229" s="160"/>
      <c r="AG229" s="160">
        <v>3.4769999999999999</v>
      </c>
      <c r="AH229" s="170">
        <f t="shared" si="5"/>
        <v>23.815068493150683</v>
      </c>
    </row>
    <row r="230" spans="1:34" ht="12" customHeight="1" x14ac:dyDescent="0.2">
      <c r="A230" s="141"/>
      <c r="B230" s="515" t="s">
        <v>350</v>
      </c>
      <c r="C230" s="515"/>
      <c r="D230" s="515"/>
      <c r="E230" s="515"/>
      <c r="F230" s="515"/>
      <c r="G230" s="515"/>
      <c r="H230" s="515"/>
      <c r="I230" s="515"/>
      <c r="J230" s="515"/>
      <c r="K230" s="515"/>
      <c r="L230" s="515"/>
      <c r="M230" s="515"/>
      <c r="N230" s="143">
        <v>805</v>
      </c>
      <c r="O230" s="144">
        <v>4</v>
      </c>
      <c r="P230" s="144">
        <v>5</v>
      </c>
      <c r="Q230" s="145" t="s">
        <v>364</v>
      </c>
      <c r="R230" s="146" t="s">
        <v>34</v>
      </c>
      <c r="S230" s="500"/>
      <c r="T230" s="500"/>
      <c r="U230" s="164">
        <v>3.64</v>
      </c>
      <c r="V230" s="164">
        <v>0</v>
      </c>
      <c r="W230" s="164">
        <v>3.64</v>
      </c>
      <c r="X230" s="514"/>
      <c r="Y230" s="514"/>
      <c r="Z230" s="514"/>
      <c r="AA230" s="514"/>
      <c r="AB230" s="514"/>
      <c r="AC230" s="514"/>
      <c r="AD230" s="514"/>
      <c r="AE230" s="164"/>
      <c r="AF230" s="160"/>
      <c r="AG230" s="160">
        <v>0.73199999999999998</v>
      </c>
      <c r="AH230" s="170">
        <f t="shared" si="5"/>
        <v>20.109890109890109</v>
      </c>
    </row>
    <row r="231" spans="1:34" ht="42.75" customHeight="1" x14ac:dyDescent="0.2">
      <c r="A231" s="141"/>
      <c r="B231" s="515" t="s">
        <v>365</v>
      </c>
      <c r="C231" s="515"/>
      <c r="D231" s="515"/>
      <c r="E231" s="515"/>
      <c r="F231" s="515"/>
      <c r="G231" s="515"/>
      <c r="H231" s="515"/>
      <c r="I231" s="515"/>
      <c r="J231" s="515"/>
      <c r="K231" s="515"/>
      <c r="L231" s="515"/>
      <c r="M231" s="515"/>
      <c r="N231" s="143">
        <v>805</v>
      </c>
      <c r="O231" s="144">
        <v>4</v>
      </c>
      <c r="P231" s="144">
        <v>5</v>
      </c>
      <c r="Q231" s="145" t="s">
        <v>366</v>
      </c>
      <c r="R231" s="146">
        <v>0</v>
      </c>
      <c r="S231" s="500"/>
      <c r="T231" s="500"/>
      <c r="U231" s="164">
        <v>21.175999999999998</v>
      </c>
      <c r="V231" s="164">
        <v>0</v>
      </c>
      <c r="W231" s="164">
        <v>21.175999999999998</v>
      </c>
      <c r="X231" s="514"/>
      <c r="Y231" s="514"/>
      <c r="Z231" s="514"/>
      <c r="AA231" s="514"/>
      <c r="AB231" s="514"/>
      <c r="AC231" s="514"/>
      <c r="AD231" s="514"/>
      <c r="AE231" s="164"/>
      <c r="AF231" s="160"/>
      <c r="AG231" s="160">
        <f>+AG232</f>
        <v>0</v>
      </c>
      <c r="AH231" s="170">
        <f t="shared" si="5"/>
        <v>0</v>
      </c>
    </row>
    <row r="232" spans="1:34" ht="53.25" customHeight="1" x14ac:dyDescent="0.2">
      <c r="A232" s="141"/>
      <c r="B232" s="515" t="s">
        <v>17</v>
      </c>
      <c r="C232" s="515"/>
      <c r="D232" s="515"/>
      <c r="E232" s="515"/>
      <c r="F232" s="515"/>
      <c r="G232" s="515"/>
      <c r="H232" s="515"/>
      <c r="I232" s="515"/>
      <c r="J232" s="515"/>
      <c r="K232" s="515"/>
      <c r="L232" s="515"/>
      <c r="M232" s="515"/>
      <c r="N232" s="143">
        <v>805</v>
      </c>
      <c r="O232" s="144">
        <v>4</v>
      </c>
      <c r="P232" s="144">
        <v>5</v>
      </c>
      <c r="Q232" s="145" t="s">
        <v>366</v>
      </c>
      <c r="R232" s="146" t="s">
        <v>18</v>
      </c>
      <c r="S232" s="500"/>
      <c r="T232" s="500"/>
      <c r="U232" s="164">
        <v>21.175999999999998</v>
      </c>
      <c r="V232" s="164">
        <v>0</v>
      </c>
      <c r="W232" s="164">
        <v>21.175999999999998</v>
      </c>
      <c r="X232" s="514"/>
      <c r="Y232" s="514"/>
      <c r="Z232" s="514"/>
      <c r="AA232" s="514"/>
      <c r="AB232" s="514"/>
      <c r="AC232" s="514"/>
      <c r="AD232" s="514"/>
      <c r="AE232" s="164"/>
      <c r="AF232" s="160"/>
      <c r="AG232" s="160">
        <f>+AG233</f>
        <v>0</v>
      </c>
      <c r="AH232" s="170">
        <f t="shared" si="5"/>
        <v>0</v>
      </c>
    </row>
    <row r="233" spans="1:34" ht="21.75" customHeight="1" x14ac:dyDescent="0.2">
      <c r="A233" s="141"/>
      <c r="B233" s="515" t="s">
        <v>37</v>
      </c>
      <c r="C233" s="515"/>
      <c r="D233" s="515"/>
      <c r="E233" s="515"/>
      <c r="F233" s="515"/>
      <c r="G233" s="515"/>
      <c r="H233" s="515"/>
      <c r="I233" s="515"/>
      <c r="J233" s="515"/>
      <c r="K233" s="515"/>
      <c r="L233" s="515"/>
      <c r="M233" s="515"/>
      <c r="N233" s="143">
        <v>805</v>
      </c>
      <c r="O233" s="144">
        <v>4</v>
      </c>
      <c r="P233" s="144">
        <v>5</v>
      </c>
      <c r="Q233" s="145" t="s">
        <v>366</v>
      </c>
      <c r="R233" s="146" t="s">
        <v>38</v>
      </c>
      <c r="S233" s="500"/>
      <c r="T233" s="500"/>
      <c r="U233" s="164">
        <v>21.175999999999998</v>
      </c>
      <c r="V233" s="164">
        <v>0</v>
      </c>
      <c r="W233" s="164">
        <v>21.175999999999998</v>
      </c>
      <c r="X233" s="514"/>
      <c r="Y233" s="514"/>
      <c r="Z233" s="514"/>
      <c r="AA233" s="514"/>
      <c r="AB233" s="514"/>
      <c r="AC233" s="514"/>
      <c r="AD233" s="514"/>
      <c r="AE233" s="164"/>
      <c r="AF233" s="160"/>
      <c r="AG233" s="160">
        <f>+AG234</f>
        <v>0</v>
      </c>
      <c r="AH233" s="170">
        <f t="shared" si="5"/>
        <v>0</v>
      </c>
    </row>
    <row r="234" spans="1:34" ht="32.25" customHeight="1" x14ac:dyDescent="0.2">
      <c r="A234" s="141"/>
      <c r="B234" s="515" t="s">
        <v>351</v>
      </c>
      <c r="C234" s="515"/>
      <c r="D234" s="515"/>
      <c r="E234" s="515"/>
      <c r="F234" s="515"/>
      <c r="G234" s="515"/>
      <c r="H234" s="515"/>
      <c r="I234" s="515"/>
      <c r="J234" s="515"/>
      <c r="K234" s="515"/>
      <c r="L234" s="515"/>
      <c r="M234" s="515"/>
      <c r="N234" s="143">
        <v>805</v>
      </c>
      <c r="O234" s="144">
        <v>4</v>
      </c>
      <c r="P234" s="144">
        <v>5</v>
      </c>
      <c r="Q234" s="145" t="s">
        <v>366</v>
      </c>
      <c r="R234" s="146" t="s">
        <v>40</v>
      </c>
      <c r="S234" s="500"/>
      <c r="T234" s="500"/>
      <c r="U234" s="164">
        <v>21.175999999999998</v>
      </c>
      <c r="V234" s="164">
        <v>0</v>
      </c>
      <c r="W234" s="164">
        <v>21.175999999999998</v>
      </c>
      <c r="X234" s="514"/>
      <c r="Y234" s="514"/>
      <c r="Z234" s="514"/>
      <c r="AA234" s="514"/>
      <c r="AB234" s="514"/>
      <c r="AC234" s="514"/>
      <c r="AD234" s="514"/>
      <c r="AE234" s="164"/>
      <c r="AF234" s="160"/>
      <c r="AG234" s="160"/>
      <c r="AH234" s="170">
        <f t="shared" si="5"/>
        <v>0</v>
      </c>
    </row>
    <row r="235" spans="1:34" ht="12" customHeight="1" x14ac:dyDescent="0.2">
      <c r="A235" s="141"/>
      <c r="B235" s="515" t="s">
        <v>424</v>
      </c>
      <c r="C235" s="515"/>
      <c r="D235" s="515"/>
      <c r="E235" s="515"/>
      <c r="F235" s="515"/>
      <c r="G235" s="515"/>
      <c r="H235" s="515"/>
      <c r="I235" s="515"/>
      <c r="J235" s="515"/>
      <c r="K235" s="515"/>
      <c r="L235" s="515"/>
      <c r="M235" s="515"/>
      <c r="N235" s="143">
        <v>805</v>
      </c>
      <c r="O235" s="144">
        <v>4</v>
      </c>
      <c r="P235" s="144">
        <v>12</v>
      </c>
      <c r="Q235" s="145">
        <v>0</v>
      </c>
      <c r="R235" s="146">
        <v>0</v>
      </c>
      <c r="S235" s="500"/>
      <c r="T235" s="500"/>
      <c r="U235" s="164">
        <v>377.22199999999998</v>
      </c>
      <c r="V235" s="164">
        <v>0</v>
      </c>
      <c r="W235" s="164">
        <v>377.22199999999998</v>
      </c>
      <c r="X235" s="514"/>
      <c r="Y235" s="514"/>
      <c r="Z235" s="514"/>
      <c r="AA235" s="514"/>
      <c r="AB235" s="514"/>
      <c r="AC235" s="514"/>
      <c r="AD235" s="514"/>
      <c r="AE235" s="164"/>
      <c r="AF235" s="160"/>
      <c r="AG235" s="160">
        <f>+AG236</f>
        <v>90.486320000000006</v>
      </c>
      <c r="AH235" s="170">
        <f t="shared" si="5"/>
        <v>23.987551097231872</v>
      </c>
    </row>
    <row r="236" spans="1:34" ht="21.75" customHeight="1" x14ac:dyDescent="0.2">
      <c r="A236" s="141"/>
      <c r="B236" s="515" t="s">
        <v>59</v>
      </c>
      <c r="C236" s="515"/>
      <c r="D236" s="515"/>
      <c r="E236" s="515"/>
      <c r="F236" s="515"/>
      <c r="G236" s="515"/>
      <c r="H236" s="515"/>
      <c r="I236" s="515"/>
      <c r="J236" s="515"/>
      <c r="K236" s="515"/>
      <c r="L236" s="515"/>
      <c r="M236" s="515"/>
      <c r="N236" s="143">
        <v>805</v>
      </c>
      <c r="O236" s="144">
        <v>4</v>
      </c>
      <c r="P236" s="144">
        <v>12</v>
      </c>
      <c r="Q236" s="145" t="s">
        <v>361</v>
      </c>
      <c r="R236" s="146">
        <v>0</v>
      </c>
      <c r="S236" s="500"/>
      <c r="T236" s="500"/>
      <c r="U236" s="164">
        <v>377.22199999999998</v>
      </c>
      <c r="V236" s="164">
        <v>0</v>
      </c>
      <c r="W236" s="164">
        <v>377.22199999999998</v>
      </c>
      <c r="X236" s="514"/>
      <c r="Y236" s="514"/>
      <c r="Z236" s="514"/>
      <c r="AA236" s="514"/>
      <c r="AB236" s="514"/>
      <c r="AC236" s="514"/>
      <c r="AD236" s="514"/>
      <c r="AE236" s="164"/>
      <c r="AF236" s="160"/>
      <c r="AG236" s="160">
        <f>+AG237</f>
        <v>90.486320000000006</v>
      </c>
      <c r="AH236" s="170">
        <f t="shared" si="5"/>
        <v>23.987551097231872</v>
      </c>
    </row>
    <row r="237" spans="1:34" ht="21.75" customHeight="1" x14ac:dyDescent="0.2">
      <c r="A237" s="141"/>
      <c r="B237" s="515" t="s">
        <v>395</v>
      </c>
      <c r="C237" s="515"/>
      <c r="D237" s="515"/>
      <c r="E237" s="515"/>
      <c r="F237" s="515"/>
      <c r="G237" s="515"/>
      <c r="H237" s="515"/>
      <c r="I237" s="515"/>
      <c r="J237" s="515"/>
      <c r="K237" s="515"/>
      <c r="L237" s="515"/>
      <c r="M237" s="515"/>
      <c r="N237" s="143">
        <v>805</v>
      </c>
      <c r="O237" s="144">
        <v>4</v>
      </c>
      <c r="P237" s="144">
        <v>12</v>
      </c>
      <c r="Q237" s="145" t="s">
        <v>396</v>
      </c>
      <c r="R237" s="146">
        <v>0</v>
      </c>
      <c r="S237" s="500"/>
      <c r="T237" s="500"/>
      <c r="U237" s="164">
        <v>377.22199999999998</v>
      </c>
      <c r="V237" s="164">
        <v>0</v>
      </c>
      <c r="W237" s="164">
        <v>377.22199999999998</v>
      </c>
      <c r="X237" s="514"/>
      <c r="Y237" s="514"/>
      <c r="Z237" s="514"/>
      <c r="AA237" s="514"/>
      <c r="AB237" s="514"/>
      <c r="AC237" s="514"/>
      <c r="AD237" s="514"/>
      <c r="AE237" s="164"/>
      <c r="AF237" s="160"/>
      <c r="AG237" s="160">
        <f>+AG238</f>
        <v>90.486320000000006</v>
      </c>
      <c r="AH237" s="170">
        <f t="shared" si="5"/>
        <v>23.987551097231872</v>
      </c>
    </row>
    <row r="238" spans="1:34" ht="53.25" customHeight="1" x14ac:dyDescent="0.2">
      <c r="A238" s="141"/>
      <c r="B238" s="515" t="s">
        <v>17</v>
      </c>
      <c r="C238" s="515"/>
      <c r="D238" s="515"/>
      <c r="E238" s="515"/>
      <c r="F238" s="515"/>
      <c r="G238" s="515"/>
      <c r="H238" s="515"/>
      <c r="I238" s="515"/>
      <c r="J238" s="515"/>
      <c r="K238" s="515"/>
      <c r="L238" s="515"/>
      <c r="M238" s="515"/>
      <c r="N238" s="143">
        <v>805</v>
      </c>
      <c r="O238" s="144">
        <v>4</v>
      </c>
      <c r="P238" s="144">
        <v>12</v>
      </c>
      <c r="Q238" s="145" t="s">
        <v>396</v>
      </c>
      <c r="R238" s="146" t="s">
        <v>18</v>
      </c>
      <c r="S238" s="500"/>
      <c r="T238" s="500"/>
      <c r="U238" s="164">
        <v>377.22199999999998</v>
      </c>
      <c r="V238" s="164">
        <v>0</v>
      </c>
      <c r="W238" s="164">
        <v>377.22199999999998</v>
      </c>
      <c r="X238" s="514"/>
      <c r="Y238" s="514"/>
      <c r="Z238" s="514"/>
      <c r="AA238" s="514"/>
      <c r="AB238" s="514"/>
      <c r="AC238" s="514"/>
      <c r="AD238" s="514"/>
      <c r="AE238" s="164"/>
      <c r="AF238" s="160"/>
      <c r="AG238" s="160">
        <f>+AG239</f>
        <v>90.486320000000006</v>
      </c>
      <c r="AH238" s="170">
        <f t="shared" si="5"/>
        <v>23.987551097231872</v>
      </c>
    </row>
    <row r="239" spans="1:34" ht="21.75" customHeight="1" x14ac:dyDescent="0.2">
      <c r="A239" s="141"/>
      <c r="B239" s="515" t="s">
        <v>37</v>
      </c>
      <c r="C239" s="515"/>
      <c r="D239" s="515"/>
      <c r="E239" s="515"/>
      <c r="F239" s="515"/>
      <c r="G239" s="515"/>
      <c r="H239" s="515"/>
      <c r="I239" s="515"/>
      <c r="J239" s="515"/>
      <c r="K239" s="515"/>
      <c r="L239" s="515"/>
      <c r="M239" s="515"/>
      <c r="N239" s="143">
        <v>805</v>
      </c>
      <c r="O239" s="144">
        <v>4</v>
      </c>
      <c r="P239" s="144">
        <v>12</v>
      </c>
      <c r="Q239" s="145" t="s">
        <v>396</v>
      </c>
      <c r="R239" s="146" t="s">
        <v>38</v>
      </c>
      <c r="S239" s="500"/>
      <c r="T239" s="500"/>
      <c r="U239" s="164">
        <v>377.22199999999998</v>
      </c>
      <c r="V239" s="164">
        <v>0</v>
      </c>
      <c r="W239" s="164">
        <v>377.22199999999998</v>
      </c>
      <c r="X239" s="514"/>
      <c r="Y239" s="514"/>
      <c r="Z239" s="514"/>
      <c r="AA239" s="514"/>
      <c r="AB239" s="514"/>
      <c r="AC239" s="514"/>
      <c r="AD239" s="514"/>
      <c r="AE239" s="164"/>
      <c r="AF239" s="160"/>
      <c r="AG239" s="160">
        <f>+AG240+AG241</f>
        <v>90.486320000000006</v>
      </c>
      <c r="AH239" s="170">
        <f t="shared" si="5"/>
        <v>23.987551097231872</v>
      </c>
    </row>
    <row r="240" spans="1:34" ht="21.75" customHeight="1" x14ac:dyDescent="0.2">
      <c r="A240" s="141"/>
      <c r="B240" s="515" t="s">
        <v>333</v>
      </c>
      <c r="C240" s="515"/>
      <c r="D240" s="515"/>
      <c r="E240" s="515"/>
      <c r="F240" s="515"/>
      <c r="G240" s="515"/>
      <c r="H240" s="515"/>
      <c r="I240" s="515"/>
      <c r="J240" s="515"/>
      <c r="K240" s="515"/>
      <c r="L240" s="515"/>
      <c r="M240" s="515"/>
      <c r="N240" s="143">
        <v>805</v>
      </c>
      <c r="O240" s="144">
        <v>4</v>
      </c>
      <c r="P240" s="144">
        <v>12</v>
      </c>
      <c r="Q240" s="145" t="s">
        <v>396</v>
      </c>
      <c r="R240" s="146" t="s">
        <v>39</v>
      </c>
      <c r="S240" s="500"/>
      <c r="T240" s="500"/>
      <c r="U240" s="164">
        <v>289.72500000000002</v>
      </c>
      <c r="V240" s="164">
        <v>0</v>
      </c>
      <c r="W240" s="164">
        <v>289.72500000000002</v>
      </c>
      <c r="X240" s="514"/>
      <c r="Y240" s="514"/>
      <c r="Z240" s="514"/>
      <c r="AA240" s="514"/>
      <c r="AB240" s="514"/>
      <c r="AC240" s="514"/>
      <c r="AD240" s="514"/>
      <c r="AE240" s="164"/>
      <c r="AF240" s="160"/>
      <c r="AG240" s="160">
        <v>69.49794</v>
      </c>
      <c r="AH240" s="170">
        <f t="shared" si="5"/>
        <v>23.987553714729483</v>
      </c>
    </row>
    <row r="241" spans="1:34" ht="32.25" customHeight="1" x14ac:dyDescent="0.2">
      <c r="A241" s="141"/>
      <c r="B241" s="515" t="s">
        <v>334</v>
      </c>
      <c r="C241" s="515"/>
      <c r="D241" s="515"/>
      <c r="E241" s="515"/>
      <c r="F241" s="515"/>
      <c r="G241" s="515"/>
      <c r="H241" s="515"/>
      <c r="I241" s="515"/>
      <c r="J241" s="515"/>
      <c r="K241" s="515"/>
      <c r="L241" s="515"/>
      <c r="M241" s="515"/>
      <c r="N241" s="143">
        <v>805</v>
      </c>
      <c r="O241" s="144">
        <v>4</v>
      </c>
      <c r="P241" s="144">
        <v>12</v>
      </c>
      <c r="Q241" s="145" t="s">
        <v>396</v>
      </c>
      <c r="R241" s="146" t="s">
        <v>41</v>
      </c>
      <c r="S241" s="500"/>
      <c r="T241" s="500"/>
      <c r="U241" s="164">
        <v>87.497</v>
      </c>
      <c r="V241" s="164">
        <v>0</v>
      </c>
      <c r="W241" s="164">
        <v>87.497</v>
      </c>
      <c r="X241" s="514"/>
      <c r="Y241" s="514"/>
      <c r="Z241" s="514"/>
      <c r="AA241" s="514"/>
      <c r="AB241" s="514"/>
      <c r="AC241" s="514"/>
      <c r="AD241" s="514"/>
      <c r="AE241" s="164"/>
      <c r="AF241" s="160"/>
      <c r="AG241" s="160">
        <v>20.988379999999999</v>
      </c>
      <c r="AH241" s="170">
        <f t="shared" si="5"/>
        <v>23.987542430026171</v>
      </c>
    </row>
    <row r="242" spans="1:34" ht="21.75" customHeight="1" x14ac:dyDescent="0.2">
      <c r="A242" s="141"/>
      <c r="B242" s="515" t="s">
        <v>528</v>
      </c>
      <c r="C242" s="515"/>
      <c r="D242" s="515"/>
      <c r="E242" s="515"/>
      <c r="F242" s="515"/>
      <c r="G242" s="515"/>
      <c r="H242" s="515"/>
      <c r="I242" s="515"/>
      <c r="J242" s="515"/>
      <c r="K242" s="515"/>
      <c r="L242" s="515"/>
      <c r="M242" s="515"/>
      <c r="N242" s="143">
        <v>806</v>
      </c>
      <c r="O242" s="144">
        <v>0</v>
      </c>
      <c r="P242" s="144">
        <v>0</v>
      </c>
      <c r="Q242" s="145">
        <v>0</v>
      </c>
      <c r="R242" s="146">
        <v>0</v>
      </c>
      <c r="S242" s="500"/>
      <c r="T242" s="500"/>
      <c r="U242" s="164">
        <v>333751.75400000002</v>
      </c>
      <c r="V242" s="164">
        <v>0</v>
      </c>
      <c r="W242" s="164">
        <v>333751.75400000002</v>
      </c>
      <c r="X242" s="514"/>
      <c r="Y242" s="514"/>
      <c r="Z242" s="514"/>
      <c r="AA242" s="514"/>
      <c r="AB242" s="514"/>
      <c r="AC242" s="514"/>
      <c r="AD242" s="514"/>
      <c r="AE242" s="164"/>
      <c r="AF242" s="160"/>
      <c r="AG242" s="160">
        <f>+AG243+AG314</f>
        <v>85209.200899999982</v>
      </c>
      <c r="AH242" s="170">
        <f t="shared" si="5"/>
        <v>25.530712536719726</v>
      </c>
    </row>
    <row r="243" spans="1:34" ht="12" customHeight="1" x14ac:dyDescent="0.2">
      <c r="A243" s="141"/>
      <c r="B243" s="515" t="s">
        <v>5</v>
      </c>
      <c r="C243" s="515"/>
      <c r="D243" s="515"/>
      <c r="E243" s="515"/>
      <c r="F243" s="515"/>
      <c r="G243" s="515"/>
      <c r="H243" s="515"/>
      <c r="I243" s="515"/>
      <c r="J243" s="515"/>
      <c r="K243" s="515"/>
      <c r="L243" s="515"/>
      <c r="M243" s="515"/>
      <c r="N243" s="143">
        <v>806</v>
      </c>
      <c r="O243" s="144">
        <v>7</v>
      </c>
      <c r="P243" s="144">
        <v>0</v>
      </c>
      <c r="Q243" s="145">
        <v>0</v>
      </c>
      <c r="R243" s="146">
        <v>0</v>
      </c>
      <c r="S243" s="500"/>
      <c r="T243" s="500"/>
      <c r="U243" s="164">
        <v>329008.25400000002</v>
      </c>
      <c r="V243" s="164">
        <v>0</v>
      </c>
      <c r="W243" s="164">
        <v>329008.25400000002</v>
      </c>
      <c r="X243" s="514"/>
      <c r="Y243" s="514"/>
      <c r="Z243" s="514"/>
      <c r="AA243" s="514"/>
      <c r="AB243" s="514"/>
      <c r="AC243" s="514"/>
      <c r="AD243" s="514"/>
      <c r="AE243" s="164"/>
      <c r="AF243" s="160"/>
      <c r="AG243" s="160">
        <f>+AG244+AG257+AG276+AG283+AG290</f>
        <v>84430.109899999981</v>
      </c>
      <c r="AH243" s="170">
        <f t="shared" si="5"/>
        <v>25.662003573928565</v>
      </c>
    </row>
    <row r="244" spans="1:34" ht="12" customHeight="1" x14ac:dyDescent="0.2">
      <c r="A244" s="141"/>
      <c r="B244" s="515" t="s">
        <v>68</v>
      </c>
      <c r="C244" s="515"/>
      <c r="D244" s="515"/>
      <c r="E244" s="515"/>
      <c r="F244" s="515"/>
      <c r="G244" s="515"/>
      <c r="H244" s="515"/>
      <c r="I244" s="515"/>
      <c r="J244" s="515"/>
      <c r="K244" s="515"/>
      <c r="L244" s="515"/>
      <c r="M244" s="515"/>
      <c r="N244" s="143">
        <v>806</v>
      </c>
      <c r="O244" s="144">
        <v>7</v>
      </c>
      <c r="P244" s="144">
        <v>1</v>
      </c>
      <c r="Q244" s="145">
        <v>0</v>
      </c>
      <c r="R244" s="146">
        <v>0</v>
      </c>
      <c r="S244" s="500"/>
      <c r="T244" s="500"/>
      <c r="U244" s="164">
        <v>106756.946</v>
      </c>
      <c r="V244" s="164">
        <v>0</v>
      </c>
      <c r="W244" s="164">
        <v>106756.946</v>
      </c>
      <c r="X244" s="514"/>
      <c r="Y244" s="514"/>
      <c r="Z244" s="514"/>
      <c r="AA244" s="514"/>
      <c r="AB244" s="514"/>
      <c r="AC244" s="514"/>
      <c r="AD244" s="514"/>
      <c r="AE244" s="164"/>
      <c r="AF244" s="160"/>
      <c r="AG244" s="160">
        <f>+AG245+AG251</f>
        <v>28791.615859999998</v>
      </c>
      <c r="AH244" s="170">
        <f t="shared" si="5"/>
        <v>26.969313884269415</v>
      </c>
    </row>
    <row r="245" spans="1:34" ht="21.75" customHeight="1" x14ac:dyDescent="0.2">
      <c r="A245" s="141"/>
      <c r="B245" s="515" t="s">
        <v>431</v>
      </c>
      <c r="C245" s="515"/>
      <c r="D245" s="515"/>
      <c r="E245" s="515"/>
      <c r="F245" s="515"/>
      <c r="G245" s="515"/>
      <c r="H245" s="515"/>
      <c r="I245" s="515"/>
      <c r="J245" s="515"/>
      <c r="K245" s="515"/>
      <c r="L245" s="515"/>
      <c r="M245" s="515"/>
      <c r="N245" s="143">
        <v>806</v>
      </c>
      <c r="O245" s="144">
        <v>7</v>
      </c>
      <c r="P245" s="144">
        <v>1</v>
      </c>
      <c r="Q245" s="145" t="s">
        <v>432</v>
      </c>
      <c r="R245" s="146">
        <v>0</v>
      </c>
      <c r="S245" s="500"/>
      <c r="T245" s="500"/>
      <c r="U245" s="164">
        <v>42367.546000000002</v>
      </c>
      <c r="V245" s="164">
        <v>0</v>
      </c>
      <c r="W245" s="164">
        <v>42367.546000000002</v>
      </c>
      <c r="X245" s="514"/>
      <c r="Y245" s="514"/>
      <c r="Z245" s="514"/>
      <c r="AA245" s="514"/>
      <c r="AB245" s="514"/>
      <c r="AC245" s="514"/>
      <c r="AD245" s="514"/>
      <c r="AE245" s="164"/>
      <c r="AF245" s="160"/>
      <c r="AG245" s="160">
        <f>+AG246</f>
        <v>11908.479020000001</v>
      </c>
      <c r="AH245" s="170">
        <f t="shared" si="5"/>
        <v>28.107549632447444</v>
      </c>
    </row>
    <row r="246" spans="1:34" ht="12" customHeight="1" x14ac:dyDescent="0.2">
      <c r="A246" s="141"/>
      <c r="B246" s="515" t="s">
        <v>433</v>
      </c>
      <c r="C246" s="515"/>
      <c r="D246" s="515"/>
      <c r="E246" s="515"/>
      <c r="F246" s="515"/>
      <c r="G246" s="515"/>
      <c r="H246" s="515"/>
      <c r="I246" s="515"/>
      <c r="J246" s="515"/>
      <c r="K246" s="515"/>
      <c r="L246" s="515"/>
      <c r="M246" s="515"/>
      <c r="N246" s="143">
        <v>806</v>
      </c>
      <c r="O246" s="144">
        <v>7</v>
      </c>
      <c r="P246" s="144">
        <v>1</v>
      </c>
      <c r="Q246" s="145" t="s">
        <v>434</v>
      </c>
      <c r="R246" s="146">
        <v>0</v>
      </c>
      <c r="S246" s="500"/>
      <c r="T246" s="500"/>
      <c r="U246" s="164">
        <v>42367.546000000002</v>
      </c>
      <c r="V246" s="164">
        <v>0</v>
      </c>
      <c r="W246" s="164">
        <v>42367.546000000002</v>
      </c>
      <c r="X246" s="514"/>
      <c r="Y246" s="514"/>
      <c r="Z246" s="514"/>
      <c r="AA246" s="514"/>
      <c r="AB246" s="514"/>
      <c r="AC246" s="514"/>
      <c r="AD246" s="514"/>
      <c r="AE246" s="164"/>
      <c r="AF246" s="160"/>
      <c r="AG246" s="160">
        <f>+AG247</f>
        <v>11908.479020000001</v>
      </c>
      <c r="AH246" s="170">
        <f t="shared" si="5"/>
        <v>28.107549632447444</v>
      </c>
    </row>
    <row r="247" spans="1:34" ht="21.75" customHeight="1" x14ac:dyDescent="0.2">
      <c r="A247" s="141"/>
      <c r="B247" s="515" t="s">
        <v>69</v>
      </c>
      <c r="C247" s="515"/>
      <c r="D247" s="515"/>
      <c r="E247" s="515"/>
      <c r="F247" s="515"/>
      <c r="G247" s="515"/>
      <c r="H247" s="515"/>
      <c r="I247" s="515"/>
      <c r="J247" s="515"/>
      <c r="K247" s="515"/>
      <c r="L247" s="515"/>
      <c r="M247" s="515"/>
      <c r="N247" s="143">
        <v>806</v>
      </c>
      <c r="O247" s="144">
        <v>7</v>
      </c>
      <c r="P247" s="144">
        <v>1</v>
      </c>
      <c r="Q247" s="145" t="s">
        <v>435</v>
      </c>
      <c r="R247" s="146">
        <v>0</v>
      </c>
      <c r="S247" s="500"/>
      <c r="T247" s="500"/>
      <c r="U247" s="164">
        <v>42367.546000000002</v>
      </c>
      <c r="V247" s="164">
        <v>0</v>
      </c>
      <c r="W247" s="164">
        <v>42367.546000000002</v>
      </c>
      <c r="X247" s="514"/>
      <c r="Y247" s="514"/>
      <c r="Z247" s="514"/>
      <c r="AA247" s="514"/>
      <c r="AB247" s="514"/>
      <c r="AC247" s="514"/>
      <c r="AD247" s="514"/>
      <c r="AE247" s="164"/>
      <c r="AF247" s="160"/>
      <c r="AG247" s="160">
        <f>+AG248</f>
        <v>11908.479020000001</v>
      </c>
      <c r="AH247" s="170">
        <f t="shared" si="5"/>
        <v>28.107549632447444</v>
      </c>
    </row>
    <row r="248" spans="1:34" ht="21.75" customHeight="1" x14ac:dyDescent="0.2">
      <c r="A248" s="141"/>
      <c r="B248" s="515" t="s">
        <v>436</v>
      </c>
      <c r="C248" s="515"/>
      <c r="D248" s="515"/>
      <c r="E248" s="515"/>
      <c r="F248" s="515"/>
      <c r="G248" s="515"/>
      <c r="H248" s="515"/>
      <c r="I248" s="515"/>
      <c r="J248" s="515"/>
      <c r="K248" s="515"/>
      <c r="L248" s="515"/>
      <c r="M248" s="515"/>
      <c r="N248" s="143">
        <v>806</v>
      </c>
      <c r="O248" s="144">
        <v>7</v>
      </c>
      <c r="P248" s="144">
        <v>1</v>
      </c>
      <c r="Q248" s="145" t="s">
        <v>435</v>
      </c>
      <c r="R248" s="146" t="s">
        <v>8</v>
      </c>
      <c r="S248" s="500"/>
      <c r="T248" s="500"/>
      <c r="U248" s="164">
        <v>42367.546000000002</v>
      </c>
      <c r="V248" s="164">
        <v>0</v>
      </c>
      <c r="W248" s="164">
        <v>42367.546000000002</v>
      </c>
      <c r="X248" s="514"/>
      <c r="Y248" s="514"/>
      <c r="Z248" s="514"/>
      <c r="AA248" s="514"/>
      <c r="AB248" s="514"/>
      <c r="AC248" s="514"/>
      <c r="AD248" s="514"/>
      <c r="AE248" s="164"/>
      <c r="AF248" s="160"/>
      <c r="AG248" s="160">
        <f>+AG249</f>
        <v>11908.479020000001</v>
      </c>
      <c r="AH248" s="170">
        <f t="shared" si="5"/>
        <v>28.107549632447444</v>
      </c>
    </row>
    <row r="249" spans="1:34" ht="12" customHeight="1" x14ac:dyDescent="0.2">
      <c r="A249" s="141"/>
      <c r="B249" s="515" t="s">
        <v>9</v>
      </c>
      <c r="C249" s="515"/>
      <c r="D249" s="515"/>
      <c r="E249" s="515"/>
      <c r="F249" s="515"/>
      <c r="G249" s="515"/>
      <c r="H249" s="515"/>
      <c r="I249" s="515"/>
      <c r="J249" s="515"/>
      <c r="K249" s="515"/>
      <c r="L249" s="515"/>
      <c r="M249" s="515"/>
      <c r="N249" s="143">
        <v>806</v>
      </c>
      <c r="O249" s="144">
        <v>7</v>
      </c>
      <c r="P249" s="144">
        <v>1</v>
      </c>
      <c r="Q249" s="145" t="s">
        <v>435</v>
      </c>
      <c r="R249" s="146" t="s">
        <v>10</v>
      </c>
      <c r="S249" s="500"/>
      <c r="T249" s="500"/>
      <c r="U249" s="164">
        <v>42367.546000000002</v>
      </c>
      <c r="V249" s="164">
        <v>0</v>
      </c>
      <c r="W249" s="164">
        <v>42367.546000000002</v>
      </c>
      <c r="X249" s="514"/>
      <c r="Y249" s="514"/>
      <c r="Z249" s="514"/>
      <c r="AA249" s="514"/>
      <c r="AB249" s="514"/>
      <c r="AC249" s="514"/>
      <c r="AD249" s="514"/>
      <c r="AE249" s="164"/>
      <c r="AF249" s="160"/>
      <c r="AG249" s="160">
        <f>+AG250</f>
        <v>11908.479020000001</v>
      </c>
      <c r="AH249" s="170">
        <f t="shared" si="5"/>
        <v>28.107549632447444</v>
      </c>
    </row>
    <row r="250" spans="1:34" ht="42.75" customHeight="1" x14ac:dyDescent="0.2">
      <c r="A250" s="141"/>
      <c r="B250" s="515" t="s">
        <v>11</v>
      </c>
      <c r="C250" s="515"/>
      <c r="D250" s="515"/>
      <c r="E250" s="515"/>
      <c r="F250" s="515"/>
      <c r="G250" s="515"/>
      <c r="H250" s="515"/>
      <c r="I250" s="515"/>
      <c r="J250" s="515"/>
      <c r="K250" s="515"/>
      <c r="L250" s="515"/>
      <c r="M250" s="515"/>
      <c r="N250" s="143">
        <v>806</v>
      </c>
      <c r="O250" s="144">
        <v>7</v>
      </c>
      <c r="P250" s="144">
        <v>1</v>
      </c>
      <c r="Q250" s="145" t="s">
        <v>435</v>
      </c>
      <c r="R250" s="146" t="s">
        <v>12</v>
      </c>
      <c r="S250" s="500"/>
      <c r="T250" s="500"/>
      <c r="U250" s="164">
        <v>42367.546000000002</v>
      </c>
      <c r="V250" s="164">
        <v>0</v>
      </c>
      <c r="W250" s="164">
        <v>42367.546000000002</v>
      </c>
      <c r="X250" s="514"/>
      <c r="Y250" s="514"/>
      <c r="Z250" s="514"/>
      <c r="AA250" s="514"/>
      <c r="AB250" s="514"/>
      <c r="AC250" s="514"/>
      <c r="AD250" s="514"/>
      <c r="AE250" s="164"/>
      <c r="AF250" s="160"/>
      <c r="AG250" s="160">
        <v>11908.479020000001</v>
      </c>
      <c r="AH250" s="170">
        <f t="shared" si="5"/>
        <v>28.107549632447444</v>
      </c>
    </row>
    <row r="251" spans="1:34" ht="21.75" customHeight="1" x14ac:dyDescent="0.2">
      <c r="A251" s="141"/>
      <c r="B251" s="515" t="s">
        <v>431</v>
      </c>
      <c r="C251" s="515"/>
      <c r="D251" s="515"/>
      <c r="E251" s="515"/>
      <c r="F251" s="515"/>
      <c r="G251" s="515"/>
      <c r="H251" s="515"/>
      <c r="I251" s="515"/>
      <c r="J251" s="515"/>
      <c r="K251" s="515"/>
      <c r="L251" s="515"/>
      <c r="M251" s="515"/>
      <c r="N251" s="143">
        <v>806</v>
      </c>
      <c r="O251" s="144">
        <v>7</v>
      </c>
      <c r="P251" s="144">
        <v>1</v>
      </c>
      <c r="Q251" s="145" t="s">
        <v>432</v>
      </c>
      <c r="R251" s="146">
        <v>0</v>
      </c>
      <c r="S251" s="500"/>
      <c r="T251" s="500"/>
      <c r="U251" s="164">
        <v>64389.4</v>
      </c>
      <c r="V251" s="164">
        <v>0</v>
      </c>
      <c r="W251" s="164">
        <v>64389.4</v>
      </c>
      <c r="X251" s="514"/>
      <c r="Y251" s="514"/>
      <c r="Z251" s="514"/>
      <c r="AA251" s="514"/>
      <c r="AB251" s="514"/>
      <c r="AC251" s="514"/>
      <c r="AD251" s="514"/>
      <c r="AE251" s="164"/>
      <c r="AF251" s="160"/>
      <c r="AG251" s="160">
        <f>+AG252</f>
        <v>16883.136839999999</v>
      </c>
      <c r="AH251" s="170">
        <f t="shared" si="5"/>
        <v>26.220366768443252</v>
      </c>
    </row>
    <row r="252" spans="1:34" ht="12" customHeight="1" x14ac:dyDescent="0.2">
      <c r="A252" s="141"/>
      <c r="B252" s="515" t="s">
        <v>433</v>
      </c>
      <c r="C252" s="515"/>
      <c r="D252" s="515"/>
      <c r="E252" s="515"/>
      <c r="F252" s="515"/>
      <c r="G252" s="515"/>
      <c r="H252" s="515"/>
      <c r="I252" s="515"/>
      <c r="J252" s="515"/>
      <c r="K252" s="515"/>
      <c r="L252" s="515"/>
      <c r="M252" s="515"/>
      <c r="N252" s="143">
        <v>806</v>
      </c>
      <c r="O252" s="144">
        <v>7</v>
      </c>
      <c r="P252" s="144">
        <v>1</v>
      </c>
      <c r="Q252" s="145" t="s">
        <v>434</v>
      </c>
      <c r="R252" s="146">
        <v>0</v>
      </c>
      <c r="S252" s="500"/>
      <c r="T252" s="500"/>
      <c r="U252" s="164">
        <v>64389.4</v>
      </c>
      <c r="V252" s="164">
        <v>0</v>
      </c>
      <c r="W252" s="164">
        <v>64389.4</v>
      </c>
      <c r="X252" s="514"/>
      <c r="Y252" s="514"/>
      <c r="Z252" s="514"/>
      <c r="AA252" s="514"/>
      <c r="AB252" s="514"/>
      <c r="AC252" s="514"/>
      <c r="AD252" s="514"/>
      <c r="AE252" s="164"/>
      <c r="AF252" s="160"/>
      <c r="AG252" s="160">
        <f>+AG253</f>
        <v>16883.136839999999</v>
      </c>
      <c r="AH252" s="170">
        <f t="shared" si="5"/>
        <v>26.220366768443252</v>
      </c>
    </row>
    <row r="253" spans="1:34" ht="21.75" customHeight="1" x14ac:dyDescent="0.2">
      <c r="A253" s="141"/>
      <c r="B253" s="515" t="s">
        <v>70</v>
      </c>
      <c r="C253" s="515"/>
      <c r="D253" s="515"/>
      <c r="E253" s="515"/>
      <c r="F253" s="515"/>
      <c r="G253" s="515"/>
      <c r="H253" s="515"/>
      <c r="I253" s="515"/>
      <c r="J253" s="515"/>
      <c r="K253" s="515"/>
      <c r="L253" s="515"/>
      <c r="M253" s="515"/>
      <c r="N253" s="143">
        <v>806</v>
      </c>
      <c r="O253" s="144">
        <v>7</v>
      </c>
      <c r="P253" s="144">
        <v>1</v>
      </c>
      <c r="Q253" s="145" t="s">
        <v>437</v>
      </c>
      <c r="R253" s="146">
        <v>0</v>
      </c>
      <c r="S253" s="500"/>
      <c r="T253" s="500"/>
      <c r="U253" s="164">
        <v>64389.4</v>
      </c>
      <c r="V253" s="164">
        <v>0</v>
      </c>
      <c r="W253" s="164">
        <v>64389.4</v>
      </c>
      <c r="X253" s="514"/>
      <c r="Y253" s="514"/>
      <c r="Z253" s="514"/>
      <c r="AA253" s="514"/>
      <c r="AB253" s="514"/>
      <c r="AC253" s="514"/>
      <c r="AD253" s="514"/>
      <c r="AE253" s="164"/>
      <c r="AF253" s="160"/>
      <c r="AG253" s="160">
        <f>+AG254</f>
        <v>16883.136839999999</v>
      </c>
      <c r="AH253" s="170">
        <f t="shared" si="5"/>
        <v>26.220366768443252</v>
      </c>
    </row>
    <row r="254" spans="1:34" ht="21.75" customHeight="1" x14ac:dyDescent="0.2">
      <c r="A254" s="141"/>
      <c r="B254" s="515" t="s">
        <v>436</v>
      </c>
      <c r="C254" s="515"/>
      <c r="D254" s="515"/>
      <c r="E254" s="515"/>
      <c r="F254" s="515"/>
      <c r="G254" s="515"/>
      <c r="H254" s="515"/>
      <c r="I254" s="515"/>
      <c r="J254" s="515"/>
      <c r="K254" s="515"/>
      <c r="L254" s="515"/>
      <c r="M254" s="515"/>
      <c r="N254" s="143">
        <v>806</v>
      </c>
      <c r="O254" s="144">
        <v>7</v>
      </c>
      <c r="P254" s="144">
        <v>1</v>
      </c>
      <c r="Q254" s="145" t="s">
        <v>437</v>
      </c>
      <c r="R254" s="146" t="s">
        <v>8</v>
      </c>
      <c r="S254" s="500"/>
      <c r="T254" s="500"/>
      <c r="U254" s="164">
        <v>64389.4</v>
      </c>
      <c r="V254" s="164">
        <v>0</v>
      </c>
      <c r="W254" s="164">
        <v>64389.4</v>
      </c>
      <c r="X254" s="514"/>
      <c r="Y254" s="514"/>
      <c r="Z254" s="514"/>
      <c r="AA254" s="514"/>
      <c r="AB254" s="514"/>
      <c r="AC254" s="514"/>
      <c r="AD254" s="514"/>
      <c r="AE254" s="164"/>
      <c r="AF254" s="160"/>
      <c r="AG254" s="160">
        <f>+AG255</f>
        <v>16883.136839999999</v>
      </c>
      <c r="AH254" s="170">
        <f t="shared" si="5"/>
        <v>26.220366768443252</v>
      </c>
    </row>
    <row r="255" spans="1:34" ht="12" customHeight="1" x14ac:dyDescent="0.2">
      <c r="A255" s="141"/>
      <c r="B255" s="515" t="s">
        <v>9</v>
      </c>
      <c r="C255" s="515"/>
      <c r="D255" s="515"/>
      <c r="E255" s="515"/>
      <c r="F255" s="515"/>
      <c r="G255" s="515"/>
      <c r="H255" s="515"/>
      <c r="I255" s="515"/>
      <c r="J255" s="515"/>
      <c r="K255" s="515"/>
      <c r="L255" s="515"/>
      <c r="M255" s="515"/>
      <c r="N255" s="143">
        <v>806</v>
      </c>
      <c r="O255" s="144">
        <v>7</v>
      </c>
      <c r="P255" s="144">
        <v>1</v>
      </c>
      <c r="Q255" s="145" t="s">
        <v>437</v>
      </c>
      <c r="R255" s="146" t="s">
        <v>10</v>
      </c>
      <c r="S255" s="500"/>
      <c r="T255" s="500"/>
      <c r="U255" s="164">
        <v>64389.4</v>
      </c>
      <c r="V255" s="164">
        <v>0</v>
      </c>
      <c r="W255" s="164">
        <v>64389.4</v>
      </c>
      <c r="X255" s="514"/>
      <c r="Y255" s="514"/>
      <c r="Z255" s="514"/>
      <c r="AA255" s="514"/>
      <c r="AB255" s="514"/>
      <c r="AC255" s="514"/>
      <c r="AD255" s="514"/>
      <c r="AE255" s="164"/>
      <c r="AF255" s="160"/>
      <c r="AG255" s="160">
        <f>+AG256</f>
        <v>16883.136839999999</v>
      </c>
      <c r="AH255" s="170">
        <f t="shared" si="5"/>
        <v>26.220366768443252</v>
      </c>
    </row>
    <row r="256" spans="1:34" ht="42.75" customHeight="1" x14ac:dyDescent="0.2">
      <c r="A256" s="141"/>
      <c r="B256" s="515" t="s">
        <v>11</v>
      </c>
      <c r="C256" s="515"/>
      <c r="D256" s="515"/>
      <c r="E256" s="515"/>
      <c r="F256" s="515"/>
      <c r="G256" s="515"/>
      <c r="H256" s="515"/>
      <c r="I256" s="515"/>
      <c r="J256" s="515"/>
      <c r="K256" s="515"/>
      <c r="L256" s="515"/>
      <c r="M256" s="515"/>
      <c r="N256" s="143">
        <v>806</v>
      </c>
      <c r="O256" s="144">
        <v>7</v>
      </c>
      <c r="P256" s="144">
        <v>1</v>
      </c>
      <c r="Q256" s="145" t="s">
        <v>437</v>
      </c>
      <c r="R256" s="146" t="s">
        <v>12</v>
      </c>
      <c r="S256" s="500"/>
      <c r="T256" s="500"/>
      <c r="U256" s="164">
        <v>64389.4</v>
      </c>
      <c r="V256" s="164">
        <v>0</v>
      </c>
      <c r="W256" s="164">
        <v>64389.4</v>
      </c>
      <c r="X256" s="514"/>
      <c r="Y256" s="514"/>
      <c r="Z256" s="514"/>
      <c r="AA256" s="514"/>
      <c r="AB256" s="514"/>
      <c r="AC256" s="514"/>
      <c r="AD256" s="514"/>
      <c r="AE256" s="164"/>
      <c r="AF256" s="160"/>
      <c r="AG256" s="160">
        <v>16883.136839999999</v>
      </c>
      <c r="AH256" s="170">
        <f t="shared" si="5"/>
        <v>26.220366768443252</v>
      </c>
    </row>
    <row r="257" spans="1:34" ht="12" customHeight="1" x14ac:dyDescent="0.2">
      <c r="A257" s="141"/>
      <c r="B257" s="515" t="s">
        <v>71</v>
      </c>
      <c r="C257" s="515"/>
      <c r="D257" s="515"/>
      <c r="E257" s="515"/>
      <c r="F257" s="515"/>
      <c r="G257" s="515"/>
      <c r="H257" s="515"/>
      <c r="I257" s="515"/>
      <c r="J257" s="515"/>
      <c r="K257" s="515"/>
      <c r="L257" s="515"/>
      <c r="M257" s="515"/>
      <c r="N257" s="143">
        <v>806</v>
      </c>
      <c r="O257" s="144">
        <v>7</v>
      </c>
      <c r="P257" s="144">
        <v>2</v>
      </c>
      <c r="Q257" s="145">
        <v>0</v>
      </c>
      <c r="R257" s="146">
        <v>0</v>
      </c>
      <c r="S257" s="500"/>
      <c r="T257" s="500"/>
      <c r="U257" s="164">
        <v>196555.891</v>
      </c>
      <c r="V257" s="164">
        <v>0</v>
      </c>
      <c r="W257" s="164">
        <v>196555.891</v>
      </c>
      <c r="X257" s="514"/>
      <c r="Y257" s="514"/>
      <c r="Z257" s="514"/>
      <c r="AA257" s="514"/>
      <c r="AB257" s="514"/>
      <c r="AC257" s="514"/>
      <c r="AD257" s="514"/>
      <c r="AE257" s="164"/>
      <c r="AF257" s="160"/>
      <c r="AG257" s="160">
        <f>+AG258+AG264+AG270</f>
        <v>49049.029589999998</v>
      </c>
      <c r="AH257" s="170">
        <f t="shared" si="5"/>
        <v>24.954240415007455</v>
      </c>
    </row>
    <row r="258" spans="1:34" ht="21.75" customHeight="1" x14ac:dyDescent="0.2">
      <c r="A258" s="141"/>
      <c r="B258" s="515" t="s">
        <v>431</v>
      </c>
      <c r="C258" s="515"/>
      <c r="D258" s="515"/>
      <c r="E258" s="515"/>
      <c r="F258" s="515"/>
      <c r="G258" s="515"/>
      <c r="H258" s="515"/>
      <c r="I258" s="515"/>
      <c r="J258" s="515"/>
      <c r="K258" s="515"/>
      <c r="L258" s="515"/>
      <c r="M258" s="515"/>
      <c r="N258" s="143">
        <v>806</v>
      </c>
      <c r="O258" s="144">
        <v>7</v>
      </c>
      <c r="P258" s="144">
        <v>2</v>
      </c>
      <c r="Q258" s="145" t="s">
        <v>432</v>
      </c>
      <c r="R258" s="146">
        <v>0</v>
      </c>
      <c r="S258" s="500"/>
      <c r="T258" s="500"/>
      <c r="U258" s="164">
        <v>18289.091</v>
      </c>
      <c r="V258" s="164">
        <v>0</v>
      </c>
      <c r="W258" s="164">
        <v>18289.091</v>
      </c>
      <c r="X258" s="514"/>
      <c r="Y258" s="514"/>
      <c r="Z258" s="514"/>
      <c r="AA258" s="514"/>
      <c r="AB258" s="514"/>
      <c r="AC258" s="514"/>
      <c r="AD258" s="514"/>
      <c r="AE258" s="164"/>
      <c r="AF258" s="160"/>
      <c r="AG258" s="160">
        <f>+AG259</f>
        <v>3857.6077599999999</v>
      </c>
      <c r="AH258" s="170">
        <f t="shared" si="5"/>
        <v>21.092397429702768</v>
      </c>
    </row>
    <row r="259" spans="1:34" ht="12" customHeight="1" x14ac:dyDescent="0.2">
      <c r="A259" s="141"/>
      <c r="B259" s="515" t="s">
        <v>72</v>
      </c>
      <c r="C259" s="515"/>
      <c r="D259" s="515"/>
      <c r="E259" s="515"/>
      <c r="F259" s="515"/>
      <c r="G259" s="515"/>
      <c r="H259" s="515"/>
      <c r="I259" s="515"/>
      <c r="J259" s="515"/>
      <c r="K259" s="515"/>
      <c r="L259" s="515"/>
      <c r="M259" s="515"/>
      <c r="N259" s="143">
        <v>806</v>
      </c>
      <c r="O259" s="144">
        <v>7</v>
      </c>
      <c r="P259" s="144">
        <v>2</v>
      </c>
      <c r="Q259" s="145" t="s">
        <v>438</v>
      </c>
      <c r="R259" s="146">
        <v>0</v>
      </c>
      <c r="S259" s="500"/>
      <c r="T259" s="500"/>
      <c r="U259" s="164">
        <v>18289.091</v>
      </c>
      <c r="V259" s="164">
        <v>0</v>
      </c>
      <c r="W259" s="164">
        <v>18289.091</v>
      </c>
      <c r="X259" s="514"/>
      <c r="Y259" s="514"/>
      <c r="Z259" s="514"/>
      <c r="AA259" s="514"/>
      <c r="AB259" s="514"/>
      <c r="AC259" s="514"/>
      <c r="AD259" s="514"/>
      <c r="AE259" s="164"/>
      <c r="AF259" s="160"/>
      <c r="AG259" s="160">
        <f>+AG260</f>
        <v>3857.6077599999999</v>
      </c>
      <c r="AH259" s="170">
        <f t="shared" si="5"/>
        <v>21.092397429702768</v>
      </c>
    </row>
    <row r="260" spans="1:34" ht="21.75" customHeight="1" x14ac:dyDescent="0.2">
      <c r="A260" s="141"/>
      <c r="B260" s="515" t="s">
        <v>69</v>
      </c>
      <c r="C260" s="515"/>
      <c r="D260" s="515"/>
      <c r="E260" s="515"/>
      <c r="F260" s="515"/>
      <c r="G260" s="515"/>
      <c r="H260" s="515"/>
      <c r="I260" s="515"/>
      <c r="J260" s="515"/>
      <c r="K260" s="515"/>
      <c r="L260" s="515"/>
      <c r="M260" s="515"/>
      <c r="N260" s="143">
        <v>806</v>
      </c>
      <c r="O260" s="144">
        <v>7</v>
      </c>
      <c r="P260" s="144">
        <v>2</v>
      </c>
      <c r="Q260" s="145" t="s">
        <v>439</v>
      </c>
      <c r="R260" s="146">
        <v>0</v>
      </c>
      <c r="S260" s="500"/>
      <c r="T260" s="500"/>
      <c r="U260" s="164">
        <v>18289.091</v>
      </c>
      <c r="V260" s="164">
        <v>0</v>
      </c>
      <c r="W260" s="164">
        <v>18289.091</v>
      </c>
      <c r="X260" s="514"/>
      <c r="Y260" s="514"/>
      <c r="Z260" s="514"/>
      <c r="AA260" s="514"/>
      <c r="AB260" s="514"/>
      <c r="AC260" s="514"/>
      <c r="AD260" s="514"/>
      <c r="AE260" s="164"/>
      <c r="AF260" s="160"/>
      <c r="AG260" s="160">
        <f>+AG261</f>
        <v>3857.6077599999999</v>
      </c>
      <c r="AH260" s="170">
        <f t="shared" si="5"/>
        <v>21.092397429702768</v>
      </c>
    </row>
    <row r="261" spans="1:34" ht="21.75" customHeight="1" x14ac:dyDescent="0.2">
      <c r="A261" s="141"/>
      <c r="B261" s="515" t="s">
        <v>436</v>
      </c>
      <c r="C261" s="515"/>
      <c r="D261" s="515"/>
      <c r="E261" s="515"/>
      <c r="F261" s="515"/>
      <c r="G261" s="515"/>
      <c r="H261" s="515"/>
      <c r="I261" s="515"/>
      <c r="J261" s="515"/>
      <c r="K261" s="515"/>
      <c r="L261" s="515"/>
      <c r="M261" s="515"/>
      <c r="N261" s="143">
        <v>806</v>
      </c>
      <c r="O261" s="144">
        <v>7</v>
      </c>
      <c r="P261" s="144">
        <v>2</v>
      </c>
      <c r="Q261" s="145" t="s">
        <v>439</v>
      </c>
      <c r="R261" s="146" t="s">
        <v>8</v>
      </c>
      <c r="S261" s="500"/>
      <c r="T261" s="500"/>
      <c r="U261" s="164">
        <v>18289.091</v>
      </c>
      <c r="V261" s="164">
        <v>0</v>
      </c>
      <c r="W261" s="164">
        <v>18289.091</v>
      </c>
      <c r="X261" s="514"/>
      <c r="Y261" s="514"/>
      <c r="Z261" s="514"/>
      <c r="AA261" s="514"/>
      <c r="AB261" s="514"/>
      <c r="AC261" s="514"/>
      <c r="AD261" s="514"/>
      <c r="AE261" s="164"/>
      <c r="AF261" s="160"/>
      <c r="AG261" s="160">
        <f>+AG262</f>
        <v>3857.6077599999999</v>
      </c>
      <c r="AH261" s="170">
        <f t="shared" si="5"/>
        <v>21.092397429702768</v>
      </c>
    </row>
    <row r="262" spans="1:34" ht="12" customHeight="1" x14ac:dyDescent="0.2">
      <c r="A262" s="141"/>
      <c r="B262" s="515" t="s">
        <v>9</v>
      </c>
      <c r="C262" s="515"/>
      <c r="D262" s="515"/>
      <c r="E262" s="515"/>
      <c r="F262" s="515"/>
      <c r="G262" s="515"/>
      <c r="H262" s="515"/>
      <c r="I262" s="515"/>
      <c r="J262" s="515"/>
      <c r="K262" s="515"/>
      <c r="L262" s="515"/>
      <c r="M262" s="515"/>
      <c r="N262" s="143">
        <v>806</v>
      </c>
      <c r="O262" s="144">
        <v>7</v>
      </c>
      <c r="P262" s="144">
        <v>2</v>
      </c>
      <c r="Q262" s="145" t="s">
        <v>439</v>
      </c>
      <c r="R262" s="146" t="s">
        <v>10</v>
      </c>
      <c r="S262" s="500"/>
      <c r="T262" s="500"/>
      <c r="U262" s="164">
        <v>18289.091</v>
      </c>
      <c r="V262" s="164">
        <v>0</v>
      </c>
      <c r="W262" s="164">
        <v>18289.091</v>
      </c>
      <c r="X262" s="514"/>
      <c r="Y262" s="514"/>
      <c r="Z262" s="514"/>
      <c r="AA262" s="514"/>
      <c r="AB262" s="514"/>
      <c r="AC262" s="514"/>
      <c r="AD262" s="514"/>
      <c r="AE262" s="164"/>
      <c r="AF262" s="160"/>
      <c r="AG262" s="160">
        <f>+AG263</f>
        <v>3857.6077599999999</v>
      </c>
      <c r="AH262" s="170">
        <f t="shared" si="5"/>
        <v>21.092397429702768</v>
      </c>
    </row>
    <row r="263" spans="1:34" ht="42.75" customHeight="1" x14ac:dyDescent="0.2">
      <c r="A263" s="141"/>
      <c r="B263" s="515" t="s">
        <v>11</v>
      </c>
      <c r="C263" s="515"/>
      <c r="D263" s="515"/>
      <c r="E263" s="515"/>
      <c r="F263" s="515"/>
      <c r="G263" s="515"/>
      <c r="H263" s="515"/>
      <c r="I263" s="515"/>
      <c r="J263" s="515"/>
      <c r="K263" s="515"/>
      <c r="L263" s="515"/>
      <c r="M263" s="515"/>
      <c r="N263" s="143">
        <v>806</v>
      </c>
      <c r="O263" s="144">
        <v>7</v>
      </c>
      <c r="P263" s="144">
        <v>2</v>
      </c>
      <c r="Q263" s="145" t="s">
        <v>439</v>
      </c>
      <c r="R263" s="146" t="s">
        <v>12</v>
      </c>
      <c r="S263" s="500"/>
      <c r="T263" s="500"/>
      <c r="U263" s="164">
        <v>18289.091</v>
      </c>
      <c r="V263" s="164">
        <v>0</v>
      </c>
      <c r="W263" s="164">
        <v>18289.091</v>
      </c>
      <c r="X263" s="514"/>
      <c r="Y263" s="514"/>
      <c r="Z263" s="514"/>
      <c r="AA263" s="514"/>
      <c r="AB263" s="514"/>
      <c r="AC263" s="514"/>
      <c r="AD263" s="514"/>
      <c r="AE263" s="164"/>
      <c r="AF263" s="160"/>
      <c r="AG263" s="160">
        <v>3857.6077599999999</v>
      </c>
      <c r="AH263" s="170">
        <f t="shared" si="5"/>
        <v>21.092397429702768</v>
      </c>
    </row>
    <row r="264" spans="1:34" ht="21.75" customHeight="1" x14ac:dyDescent="0.2">
      <c r="A264" s="141"/>
      <c r="B264" s="515" t="s">
        <v>431</v>
      </c>
      <c r="C264" s="515"/>
      <c r="D264" s="515"/>
      <c r="E264" s="515"/>
      <c r="F264" s="515"/>
      <c r="G264" s="515"/>
      <c r="H264" s="515"/>
      <c r="I264" s="515"/>
      <c r="J264" s="515"/>
      <c r="K264" s="515"/>
      <c r="L264" s="515"/>
      <c r="M264" s="515"/>
      <c r="N264" s="143">
        <v>806</v>
      </c>
      <c r="O264" s="144">
        <v>7</v>
      </c>
      <c r="P264" s="144">
        <v>2</v>
      </c>
      <c r="Q264" s="145" t="s">
        <v>432</v>
      </c>
      <c r="R264" s="146">
        <v>0</v>
      </c>
      <c r="S264" s="500"/>
      <c r="T264" s="500"/>
      <c r="U264" s="164">
        <v>175951</v>
      </c>
      <c r="V264" s="164">
        <v>0</v>
      </c>
      <c r="W264" s="164">
        <v>175951</v>
      </c>
      <c r="X264" s="514"/>
      <c r="Y264" s="514"/>
      <c r="Z264" s="514"/>
      <c r="AA264" s="514"/>
      <c r="AB264" s="514"/>
      <c r="AC264" s="514"/>
      <c r="AD264" s="514"/>
      <c r="AE264" s="164"/>
      <c r="AF264" s="160"/>
      <c r="AG264" s="160">
        <f>+AG265</f>
        <v>45191.421829999999</v>
      </c>
      <c r="AH264" s="170">
        <f t="shared" si="5"/>
        <v>25.684094907104821</v>
      </c>
    </row>
    <row r="265" spans="1:34" ht="12" customHeight="1" x14ac:dyDescent="0.2">
      <c r="A265" s="141"/>
      <c r="B265" s="515" t="s">
        <v>72</v>
      </c>
      <c r="C265" s="515"/>
      <c r="D265" s="515"/>
      <c r="E265" s="515"/>
      <c r="F265" s="515"/>
      <c r="G265" s="515"/>
      <c r="H265" s="515"/>
      <c r="I265" s="515"/>
      <c r="J265" s="515"/>
      <c r="K265" s="515"/>
      <c r="L265" s="515"/>
      <c r="M265" s="515"/>
      <c r="N265" s="143">
        <v>806</v>
      </c>
      <c r="O265" s="144">
        <v>7</v>
      </c>
      <c r="P265" s="144">
        <v>2</v>
      </c>
      <c r="Q265" s="145" t="s">
        <v>438</v>
      </c>
      <c r="R265" s="146">
        <v>0</v>
      </c>
      <c r="S265" s="500"/>
      <c r="T265" s="500"/>
      <c r="U265" s="164">
        <v>175951</v>
      </c>
      <c r="V265" s="164">
        <v>0</v>
      </c>
      <c r="W265" s="164">
        <v>175951</v>
      </c>
      <c r="X265" s="514"/>
      <c r="Y265" s="514"/>
      <c r="Z265" s="514"/>
      <c r="AA265" s="514"/>
      <c r="AB265" s="514"/>
      <c r="AC265" s="514"/>
      <c r="AD265" s="514"/>
      <c r="AE265" s="164"/>
      <c r="AF265" s="160"/>
      <c r="AG265" s="160">
        <f>+AG266</f>
        <v>45191.421829999999</v>
      </c>
      <c r="AH265" s="170">
        <f t="shared" si="5"/>
        <v>25.684094907104821</v>
      </c>
    </row>
    <row r="266" spans="1:34" ht="53.25" customHeight="1" x14ac:dyDescent="0.2">
      <c r="A266" s="141"/>
      <c r="B266" s="515" t="s">
        <v>162</v>
      </c>
      <c r="C266" s="515"/>
      <c r="D266" s="515"/>
      <c r="E266" s="515"/>
      <c r="F266" s="515"/>
      <c r="G266" s="515"/>
      <c r="H266" s="515"/>
      <c r="I266" s="515"/>
      <c r="J266" s="515"/>
      <c r="K266" s="515"/>
      <c r="L266" s="515"/>
      <c r="M266" s="515"/>
      <c r="N266" s="143">
        <v>806</v>
      </c>
      <c r="O266" s="144">
        <v>7</v>
      </c>
      <c r="P266" s="144">
        <v>2</v>
      </c>
      <c r="Q266" s="145" t="s">
        <v>440</v>
      </c>
      <c r="R266" s="146">
        <v>0</v>
      </c>
      <c r="S266" s="500"/>
      <c r="T266" s="500"/>
      <c r="U266" s="164">
        <v>175951</v>
      </c>
      <c r="V266" s="164">
        <v>0</v>
      </c>
      <c r="W266" s="164">
        <v>175951</v>
      </c>
      <c r="X266" s="514"/>
      <c r="Y266" s="514"/>
      <c r="Z266" s="514"/>
      <c r="AA266" s="514"/>
      <c r="AB266" s="514"/>
      <c r="AC266" s="514"/>
      <c r="AD266" s="514"/>
      <c r="AE266" s="164"/>
      <c r="AF266" s="160"/>
      <c r="AG266" s="160">
        <f>+AG267</f>
        <v>45191.421829999999</v>
      </c>
      <c r="AH266" s="170">
        <f t="shared" si="5"/>
        <v>25.684094907104821</v>
      </c>
    </row>
    <row r="267" spans="1:34" ht="21.75" customHeight="1" x14ac:dyDescent="0.2">
      <c r="A267" s="141"/>
      <c r="B267" s="515" t="s">
        <v>436</v>
      </c>
      <c r="C267" s="515"/>
      <c r="D267" s="515"/>
      <c r="E267" s="515"/>
      <c r="F267" s="515"/>
      <c r="G267" s="515"/>
      <c r="H267" s="515"/>
      <c r="I267" s="515"/>
      <c r="J267" s="515"/>
      <c r="K267" s="515"/>
      <c r="L267" s="515"/>
      <c r="M267" s="515"/>
      <c r="N267" s="143">
        <v>806</v>
      </c>
      <c r="O267" s="144">
        <v>7</v>
      </c>
      <c r="P267" s="144">
        <v>2</v>
      </c>
      <c r="Q267" s="145" t="s">
        <v>440</v>
      </c>
      <c r="R267" s="146" t="s">
        <v>8</v>
      </c>
      <c r="S267" s="500"/>
      <c r="T267" s="500"/>
      <c r="U267" s="164">
        <v>175951</v>
      </c>
      <c r="V267" s="164">
        <v>0</v>
      </c>
      <c r="W267" s="164">
        <v>175951</v>
      </c>
      <c r="X267" s="514"/>
      <c r="Y267" s="514"/>
      <c r="Z267" s="514"/>
      <c r="AA267" s="514"/>
      <c r="AB267" s="514"/>
      <c r="AC267" s="514"/>
      <c r="AD267" s="514"/>
      <c r="AE267" s="164"/>
      <c r="AF267" s="160"/>
      <c r="AG267" s="160">
        <f>+AG268</f>
        <v>45191.421829999999</v>
      </c>
      <c r="AH267" s="170">
        <f t="shared" si="5"/>
        <v>25.684094907104821</v>
      </c>
    </row>
    <row r="268" spans="1:34" ht="12" customHeight="1" x14ac:dyDescent="0.2">
      <c r="A268" s="141"/>
      <c r="B268" s="515" t="s">
        <v>9</v>
      </c>
      <c r="C268" s="515"/>
      <c r="D268" s="515"/>
      <c r="E268" s="515"/>
      <c r="F268" s="515"/>
      <c r="G268" s="515"/>
      <c r="H268" s="515"/>
      <c r="I268" s="515"/>
      <c r="J268" s="515"/>
      <c r="K268" s="515"/>
      <c r="L268" s="515"/>
      <c r="M268" s="515"/>
      <c r="N268" s="143">
        <v>806</v>
      </c>
      <c r="O268" s="144">
        <v>7</v>
      </c>
      <c r="P268" s="144">
        <v>2</v>
      </c>
      <c r="Q268" s="145" t="s">
        <v>440</v>
      </c>
      <c r="R268" s="146" t="s">
        <v>10</v>
      </c>
      <c r="S268" s="500"/>
      <c r="T268" s="500"/>
      <c r="U268" s="164">
        <v>175951</v>
      </c>
      <c r="V268" s="164">
        <v>0</v>
      </c>
      <c r="W268" s="164">
        <v>175951</v>
      </c>
      <c r="X268" s="514"/>
      <c r="Y268" s="514"/>
      <c r="Z268" s="514"/>
      <c r="AA268" s="514"/>
      <c r="AB268" s="514"/>
      <c r="AC268" s="514"/>
      <c r="AD268" s="514"/>
      <c r="AE268" s="164"/>
      <c r="AF268" s="160"/>
      <c r="AG268" s="160">
        <f>+AG269</f>
        <v>45191.421829999999</v>
      </c>
      <c r="AH268" s="170">
        <f t="shared" si="5"/>
        <v>25.684094907104821</v>
      </c>
    </row>
    <row r="269" spans="1:34" ht="42.75" customHeight="1" x14ac:dyDescent="0.2">
      <c r="A269" s="141"/>
      <c r="B269" s="515" t="s">
        <v>11</v>
      </c>
      <c r="C269" s="515"/>
      <c r="D269" s="515"/>
      <c r="E269" s="515"/>
      <c r="F269" s="515"/>
      <c r="G269" s="515"/>
      <c r="H269" s="515"/>
      <c r="I269" s="515"/>
      <c r="J269" s="515"/>
      <c r="K269" s="515"/>
      <c r="L269" s="515"/>
      <c r="M269" s="515"/>
      <c r="N269" s="143">
        <v>806</v>
      </c>
      <c r="O269" s="144">
        <v>7</v>
      </c>
      <c r="P269" s="144">
        <v>2</v>
      </c>
      <c r="Q269" s="145" t="s">
        <v>440</v>
      </c>
      <c r="R269" s="146" t="s">
        <v>12</v>
      </c>
      <c r="S269" s="500"/>
      <c r="T269" s="500"/>
      <c r="U269" s="164">
        <v>175951</v>
      </c>
      <c r="V269" s="164">
        <v>0</v>
      </c>
      <c r="W269" s="164">
        <v>175951</v>
      </c>
      <c r="X269" s="514"/>
      <c r="Y269" s="514"/>
      <c r="Z269" s="514"/>
      <c r="AA269" s="514"/>
      <c r="AB269" s="514"/>
      <c r="AC269" s="514"/>
      <c r="AD269" s="514"/>
      <c r="AE269" s="164"/>
      <c r="AF269" s="160"/>
      <c r="AG269" s="160">
        <v>45191.421829999999</v>
      </c>
      <c r="AH269" s="170">
        <f t="shared" si="5"/>
        <v>25.684094907104821</v>
      </c>
    </row>
    <row r="270" spans="1:34" ht="21.75" customHeight="1" x14ac:dyDescent="0.2">
      <c r="A270" s="141"/>
      <c r="B270" s="515" t="s">
        <v>431</v>
      </c>
      <c r="C270" s="515"/>
      <c r="D270" s="515"/>
      <c r="E270" s="515"/>
      <c r="F270" s="515"/>
      <c r="G270" s="515"/>
      <c r="H270" s="515"/>
      <c r="I270" s="515"/>
      <c r="J270" s="515"/>
      <c r="K270" s="515"/>
      <c r="L270" s="515"/>
      <c r="M270" s="515"/>
      <c r="N270" s="143">
        <v>806</v>
      </c>
      <c r="O270" s="144">
        <v>7</v>
      </c>
      <c r="P270" s="144">
        <v>2</v>
      </c>
      <c r="Q270" s="145" t="s">
        <v>432</v>
      </c>
      <c r="R270" s="146">
        <v>0</v>
      </c>
      <c r="S270" s="500"/>
      <c r="T270" s="500"/>
      <c r="U270" s="164">
        <v>2315.8000000000002</v>
      </c>
      <c r="V270" s="164">
        <v>0</v>
      </c>
      <c r="W270" s="164">
        <v>2315.8000000000002</v>
      </c>
      <c r="X270" s="514"/>
      <c r="Y270" s="514"/>
      <c r="Z270" s="514"/>
      <c r="AA270" s="514"/>
      <c r="AB270" s="514"/>
      <c r="AC270" s="514"/>
      <c r="AD270" s="514"/>
      <c r="AE270" s="164"/>
      <c r="AF270" s="160"/>
      <c r="AG270" s="160">
        <f>+AG271</f>
        <v>0</v>
      </c>
      <c r="AH270" s="170">
        <f t="shared" si="5"/>
        <v>0</v>
      </c>
    </row>
    <row r="271" spans="1:34" ht="12" customHeight="1" x14ac:dyDescent="0.2">
      <c r="A271" s="141"/>
      <c r="B271" s="515" t="s">
        <v>72</v>
      </c>
      <c r="C271" s="515"/>
      <c r="D271" s="515"/>
      <c r="E271" s="515"/>
      <c r="F271" s="515"/>
      <c r="G271" s="515"/>
      <c r="H271" s="515"/>
      <c r="I271" s="515"/>
      <c r="J271" s="515"/>
      <c r="K271" s="515"/>
      <c r="L271" s="515"/>
      <c r="M271" s="515"/>
      <c r="N271" s="143">
        <v>806</v>
      </c>
      <c r="O271" s="144">
        <v>7</v>
      </c>
      <c r="P271" s="144">
        <v>2</v>
      </c>
      <c r="Q271" s="145" t="s">
        <v>438</v>
      </c>
      <c r="R271" s="146">
        <v>0</v>
      </c>
      <c r="S271" s="500"/>
      <c r="T271" s="500"/>
      <c r="U271" s="164">
        <v>2315.8000000000002</v>
      </c>
      <c r="V271" s="164">
        <v>0</v>
      </c>
      <c r="W271" s="164">
        <v>2315.8000000000002</v>
      </c>
      <c r="X271" s="514"/>
      <c r="Y271" s="514"/>
      <c r="Z271" s="514"/>
      <c r="AA271" s="514"/>
      <c r="AB271" s="514"/>
      <c r="AC271" s="514"/>
      <c r="AD271" s="514"/>
      <c r="AE271" s="164"/>
      <c r="AF271" s="160"/>
      <c r="AG271" s="160">
        <f>+AG272</f>
        <v>0</v>
      </c>
      <c r="AH271" s="170">
        <f t="shared" si="5"/>
        <v>0</v>
      </c>
    </row>
    <row r="272" spans="1:34" ht="32.25" customHeight="1" x14ac:dyDescent="0.2">
      <c r="A272" s="141"/>
      <c r="B272" s="515" t="s">
        <v>561</v>
      </c>
      <c r="C272" s="515"/>
      <c r="D272" s="515"/>
      <c r="E272" s="515"/>
      <c r="F272" s="515"/>
      <c r="G272" s="515"/>
      <c r="H272" s="515"/>
      <c r="I272" s="515"/>
      <c r="J272" s="515"/>
      <c r="K272" s="515"/>
      <c r="L272" s="515"/>
      <c r="M272" s="515"/>
      <c r="N272" s="143">
        <v>806</v>
      </c>
      <c r="O272" s="144">
        <v>7</v>
      </c>
      <c r="P272" s="144">
        <v>2</v>
      </c>
      <c r="Q272" s="145" t="s">
        <v>562</v>
      </c>
      <c r="R272" s="146">
        <v>0</v>
      </c>
      <c r="S272" s="500"/>
      <c r="T272" s="500"/>
      <c r="U272" s="164">
        <v>2315.8000000000002</v>
      </c>
      <c r="V272" s="164">
        <v>0</v>
      </c>
      <c r="W272" s="164">
        <v>2315.8000000000002</v>
      </c>
      <c r="X272" s="514"/>
      <c r="Y272" s="514"/>
      <c r="Z272" s="514"/>
      <c r="AA272" s="514"/>
      <c r="AB272" s="514"/>
      <c r="AC272" s="514"/>
      <c r="AD272" s="514"/>
      <c r="AE272" s="164"/>
      <c r="AF272" s="160"/>
      <c r="AG272" s="160">
        <f>+AG273</f>
        <v>0</v>
      </c>
      <c r="AH272" s="170">
        <f t="shared" si="5"/>
        <v>0</v>
      </c>
    </row>
    <row r="273" spans="1:34" ht="21.75" customHeight="1" x14ac:dyDescent="0.2">
      <c r="A273" s="141"/>
      <c r="B273" s="515" t="s">
        <v>436</v>
      </c>
      <c r="C273" s="515"/>
      <c r="D273" s="515"/>
      <c r="E273" s="515"/>
      <c r="F273" s="515"/>
      <c r="G273" s="515"/>
      <c r="H273" s="515"/>
      <c r="I273" s="515"/>
      <c r="J273" s="515"/>
      <c r="K273" s="515"/>
      <c r="L273" s="515"/>
      <c r="M273" s="515"/>
      <c r="N273" s="143">
        <v>806</v>
      </c>
      <c r="O273" s="144">
        <v>7</v>
      </c>
      <c r="P273" s="144">
        <v>2</v>
      </c>
      <c r="Q273" s="145" t="s">
        <v>562</v>
      </c>
      <c r="R273" s="146" t="s">
        <v>8</v>
      </c>
      <c r="S273" s="500"/>
      <c r="T273" s="500"/>
      <c r="U273" s="164">
        <v>2315.8000000000002</v>
      </c>
      <c r="V273" s="164">
        <v>0</v>
      </c>
      <c r="W273" s="164">
        <v>2315.8000000000002</v>
      </c>
      <c r="X273" s="514"/>
      <c r="Y273" s="514"/>
      <c r="Z273" s="514"/>
      <c r="AA273" s="514"/>
      <c r="AB273" s="514"/>
      <c r="AC273" s="514"/>
      <c r="AD273" s="514"/>
      <c r="AE273" s="164"/>
      <c r="AF273" s="160"/>
      <c r="AG273" s="160">
        <f>+AG274</f>
        <v>0</v>
      </c>
      <c r="AH273" s="170">
        <f t="shared" si="5"/>
        <v>0</v>
      </c>
    </row>
    <row r="274" spans="1:34" ht="12" customHeight="1" x14ac:dyDescent="0.2">
      <c r="A274" s="141"/>
      <c r="B274" s="515" t="s">
        <v>9</v>
      </c>
      <c r="C274" s="515"/>
      <c r="D274" s="515"/>
      <c r="E274" s="515"/>
      <c r="F274" s="515"/>
      <c r="G274" s="515"/>
      <c r="H274" s="515"/>
      <c r="I274" s="515"/>
      <c r="J274" s="515"/>
      <c r="K274" s="515"/>
      <c r="L274" s="515"/>
      <c r="M274" s="515"/>
      <c r="N274" s="143">
        <v>806</v>
      </c>
      <c r="O274" s="144">
        <v>7</v>
      </c>
      <c r="P274" s="144">
        <v>2</v>
      </c>
      <c r="Q274" s="145" t="s">
        <v>562</v>
      </c>
      <c r="R274" s="146" t="s">
        <v>10</v>
      </c>
      <c r="S274" s="500"/>
      <c r="T274" s="500"/>
      <c r="U274" s="164">
        <v>2315.8000000000002</v>
      </c>
      <c r="V274" s="164">
        <v>0</v>
      </c>
      <c r="W274" s="164">
        <v>2315.8000000000002</v>
      </c>
      <c r="X274" s="514"/>
      <c r="Y274" s="514"/>
      <c r="Z274" s="514"/>
      <c r="AA274" s="514"/>
      <c r="AB274" s="514"/>
      <c r="AC274" s="514"/>
      <c r="AD274" s="514"/>
      <c r="AE274" s="164"/>
      <c r="AF274" s="160"/>
      <c r="AG274" s="160">
        <f>+AG275</f>
        <v>0</v>
      </c>
      <c r="AH274" s="170">
        <f t="shared" si="5"/>
        <v>0</v>
      </c>
    </row>
    <row r="275" spans="1:34" ht="12" customHeight="1" x14ac:dyDescent="0.2">
      <c r="A275" s="141"/>
      <c r="B275" s="515" t="s">
        <v>152</v>
      </c>
      <c r="C275" s="515"/>
      <c r="D275" s="515"/>
      <c r="E275" s="515"/>
      <c r="F275" s="515"/>
      <c r="G275" s="515"/>
      <c r="H275" s="515"/>
      <c r="I275" s="515"/>
      <c r="J275" s="515"/>
      <c r="K275" s="515"/>
      <c r="L275" s="515"/>
      <c r="M275" s="515"/>
      <c r="N275" s="143">
        <v>806</v>
      </c>
      <c r="O275" s="144">
        <v>7</v>
      </c>
      <c r="P275" s="144">
        <v>2</v>
      </c>
      <c r="Q275" s="145" t="s">
        <v>562</v>
      </c>
      <c r="R275" s="146" t="s">
        <v>151</v>
      </c>
      <c r="S275" s="500"/>
      <c r="T275" s="500"/>
      <c r="U275" s="164">
        <v>2315.8000000000002</v>
      </c>
      <c r="V275" s="164">
        <v>0</v>
      </c>
      <c r="W275" s="164">
        <v>2315.8000000000002</v>
      </c>
      <c r="X275" s="514"/>
      <c r="Y275" s="514"/>
      <c r="Z275" s="514"/>
      <c r="AA275" s="514"/>
      <c r="AB275" s="514"/>
      <c r="AC275" s="514"/>
      <c r="AD275" s="514"/>
      <c r="AE275" s="164"/>
      <c r="AF275" s="160"/>
      <c r="AG275" s="160"/>
      <c r="AH275" s="170">
        <f t="shared" si="5"/>
        <v>0</v>
      </c>
    </row>
    <row r="276" spans="1:34" ht="12" customHeight="1" x14ac:dyDescent="0.2">
      <c r="A276" s="141"/>
      <c r="B276" s="515" t="s">
        <v>441</v>
      </c>
      <c r="C276" s="515"/>
      <c r="D276" s="515"/>
      <c r="E276" s="515"/>
      <c r="F276" s="515"/>
      <c r="G276" s="515"/>
      <c r="H276" s="515"/>
      <c r="I276" s="515"/>
      <c r="J276" s="515"/>
      <c r="K276" s="515"/>
      <c r="L276" s="515"/>
      <c r="M276" s="515"/>
      <c r="N276" s="143">
        <v>806</v>
      </c>
      <c r="O276" s="144">
        <v>7</v>
      </c>
      <c r="P276" s="144">
        <v>3</v>
      </c>
      <c r="Q276" s="145">
        <v>0</v>
      </c>
      <c r="R276" s="146">
        <v>0</v>
      </c>
      <c r="S276" s="500"/>
      <c r="T276" s="500"/>
      <c r="U276" s="164">
        <v>7149.6629999999996</v>
      </c>
      <c r="V276" s="164">
        <v>0</v>
      </c>
      <c r="W276" s="164">
        <v>7149.6629999999996</v>
      </c>
      <c r="X276" s="514"/>
      <c r="Y276" s="514"/>
      <c r="Z276" s="514"/>
      <c r="AA276" s="514"/>
      <c r="AB276" s="514"/>
      <c r="AC276" s="514"/>
      <c r="AD276" s="514"/>
      <c r="AE276" s="164"/>
      <c r="AF276" s="160"/>
      <c r="AG276" s="160">
        <f t="shared" ref="AG276:AG281" si="6">+AG277</f>
        <v>1902.96731</v>
      </c>
      <c r="AH276" s="170">
        <f t="shared" si="5"/>
        <v>26.616181909552942</v>
      </c>
    </row>
    <row r="277" spans="1:34" ht="21.75" customHeight="1" x14ac:dyDescent="0.2">
      <c r="A277" s="141"/>
      <c r="B277" s="515" t="s">
        <v>431</v>
      </c>
      <c r="C277" s="515"/>
      <c r="D277" s="515"/>
      <c r="E277" s="515"/>
      <c r="F277" s="515"/>
      <c r="G277" s="515"/>
      <c r="H277" s="515"/>
      <c r="I277" s="515"/>
      <c r="J277" s="515"/>
      <c r="K277" s="515"/>
      <c r="L277" s="515"/>
      <c r="M277" s="515"/>
      <c r="N277" s="143">
        <v>806</v>
      </c>
      <c r="O277" s="144">
        <v>7</v>
      </c>
      <c r="P277" s="144">
        <v>3</v>
      </c>
      <c r="Q277" s="145" t="s">
        <v>432</v>
      </c>
      <c r="R277" s="146">
        <v>0</v>
      </c>
      <c r="S277" s="500"/>
      <c r="T277" s="500"/>
      <c r="U277" s="164">
        <v>7149.6629999999996</v>
      </c>
      <c r="V277" s="164">
        <v>0</v>
      </c>
      <c r="W277" s="164">
        <v>7149.6629999999996</v>
      </c>
      <c r="X277" s="514"/>
      <c r="Y277" s="514"/>
      <c r="Z277" s="514"/>
      <c r="AA277" s="514"/>
      <c r="AB277" s="514"/>
      <c r="AC277" s="514"/>
      <c r="AD277" s="514"/>
      <c r="AE277" s="164"/>
      <c r="AF277" s="160"/>
      <c r="AG277" s="160">
        <f t="shared" si="6"/>
        <v>1902.96731</v>
      </c>
      <c r="AH277" s="170">
        <f t="shared" si="5"/>
        <v>26.616181909552942</v>
      </c>
    </row>
    <row r="278" spans="1:34" ht="12" customHeight="1" x14ac:dyDescent="0.2">
      <c r="A278" s="141"/>
      <c r="B278" s="515" t="s">
        <v>442</v>
      </c>
      <c r="C278" s="515"/>
      <c r="D278" s="515"/>
      <c r="E278" s="515"/>
      <c r="F278" s="515"/>
      <c r="G278" s="515"/>
      <c r="H278" s="515"/>
      <c r="I278" s="515"/>
      <c r="J278" s="515"/>
      <c r="K278" s="515"/>
      <c r="L278" s="515"/>
      <c r="M278" s="515"/>
      <c r="N278" s="143">
        <v>806</v>
      </c>
      <c r="O278" s="144">
        <v>7</v>
      </c>
      <c r="P278" s="144">
        <v>3</v>
      </c>
      <c r="Q278" s="145" t="s">
        <v>443</v>
      </c>
      <c r="R278" s="146">
        <v>0</v>
      </c>
      <c r="S278" s="500"/>
      <c r="T278" s="500"/>
      <c r="U278" s="164">
        <v>7149.6629999999996</v>
      </c>
      <c r="V278" s="164">
        <v>0</v>
      </c>
      <c r="W278" s="164">
        <v>7149.6629999999996</v>
      </c>
      <c r="X278" s="514"/>
      <c r="Y278" s="514"/>
      <c r="Z278" s="514"/>
      <c r="AA278" s="514"/>
      <c r="AB278" s="514"/>
      <c r="AC278" s="514"/>
      <c r="AD278" s="514"/>
      <c r="AE278" s="164"/>
      <c r="AF278" s="160"/>
      <c r="AG278" s="160">
        <f t="shared" si="6"/>
        <v>1902.96731</v>
      </c>
      <c r="AH278" s="170">
        <f t="shared" si="5"/>
        <v>26.616181909552942</v>
      </c>
    </row>
    <row r="279" spans="1:34" ht="21.75" customHeight="1" x14ac:dyDescent="0.2">
      <c r="A279" s="141"/>
      <c r="B279" s="515" t="s">
        <v>6</v>
      </c>
      <c r="C279" s="515"/>
      <c r="D279" s="515"/>
      <c r="E279" s="515"/>
      <c r="F279" s="515"/>
      <c r="G279" s="515"/>
      <c r="H279" s="515"/>
      <c r="I279" s="515"/>
      <c r="J279" s="515"/>
      <c r="K279" s="515"/>
      <c r="L279" s="515"/>
      <c r="M279" s="515"/>
      <c r="N279" s="143">
        <v>806</v>
      </c>
      <c r="O279" s="144">
        <v>7</v>
      </c>
      <c r="P279" s="144">
        <v>3</v>
      </c>
      <c r="Q279" s="145" t="s">
        <v>444</v>
      </c>
      <c r="R279" s="146">
        <v>0</v>
      </c>
      <c r="S279" s="500"/>
      <c r="T279" s="500"/>
      <c r="U279" s="164">
        <v>7149.6629999999996</v>
      </c>
      <c r="V279" s="164">
        <v>0</v>
      </c>
      <c r="W279" s="164">
        <v>7149.6629999999996</v>
      </c>
      <c r="X279" s="514"/>
      <c r="Y279" s="514"/>
      <c r="Z279" s="514"/>
      <c r="AA279" s="514"/>
      <c r="AB279" s="514"/>
      <c r="AC279" s="514"/>
      <c r="AD279" s="514"/>
      <c r="AE279" s="164"/>
      <c r="AF279" s="160"/>
      <c r="AG279" s="160">
        <f t="shared" si="6"/>
        <v>1902.96731</v>
      </c>
      <c r="AH279" s="170">
        <f t="shared" ref="AH279:AH342" si="7">AG279/U279*100</f>
        <v>26.616181909552942</v>
      </c>
    </row>
    <row r="280" spans="1:34" ht="21.75" customHeight="1" x14ac:dyDescent="0.2">
      <c r="A280" s="141"/>
      <c r="B280" s="515" t="s">
        <v>436</v>
      </c>
      <c r="C280" s="515"/>
      <c r="D280" s="515"/>
      <c r="E280" s="515"/>
      <c r="F280" s="515"/>
      <c r="G280" s="515"/>
      <c r="H280" s="515"/>
      <c r="I280" s="515"/>
      <c r="J280" s="515"/>
      <c r="K280" s="515"/>
      <c r="L280" s="515"/>
      <c r="M280" s="515"/>
      <c r="N280" s="143">
        <v>806</v>
      </c>
      <c r="O280" s="144">
        <v>7</v>
      </c>
      <c r="P280" s="144">
        <v>3</v>
      </c>
      <c r="Q280" s="145" t="s">
        <v>444</v>
      </c>
      <c r="R280" s="146" t="s">
        <v>8</v>
      </c>
      <c r="S280" s="500"/>
      <c r="T280" s="500"/>
      <c r="U280" s="164">
        <v>7149.6629999999996</v>
      </c>
      <c r="V280" s="164">
        <v>0</v>
      </c>
      <c r="W280" s="164">
        <v>7149.6629999999996</v>
      </c>
      <c r="X280" s="514"/>
      <c r="Y280" s="514"/>
      <c r="Z280" s="514"/>
      <c r="AA280" s="514"/>
      <c r="AB280" s="514"/>
      <c r="AC280" s="514"/>
      <c r="AD280" s="514"/>
      <c r="AE280" s="164"/>
      <c r="AF280" s="160"/>
      <c r="AG280" s="160">
        <f t="shared" si="6"/>
        <v>1902.96731</v>
      </c>
      <c r="AH280" s="170">
        <f t="shared" si="7"/>
        <v>26.616181909552942</v>
      </c>
    </row>
    <row r="281" spans="1:34" ht="12" customHeight="1" x14ac:dyDescent="0.2">
      <c r="A281" s="141"/>
      <c r="B281" s="515" t="s">
        <v>9</v>
      </c>
      <c r="C281" s="515"/>
      <c r="D281" s="515"/>
      <c r="E281" s="515"/>
      <c r="F281" s="515"/>
      <c r="G281" s="515"/>
      <c r="H281" s="515"/>
      <c r="I281" s="515"/>
      <c r="J281" s="515"/>
      <c r="K281" s="515"/>
      <c r="L281" s="515"/>
      <c r="M281" s="515"/>
      <c r="N281" s="143">
        <v>806</v>
      </c>
      <c r="O281" s="144">
        <v>7</v>
      </c>
      <c r="P281" s="144">
        <v>3</v>
      </c>
      <c r="Q281" s="145" t="s">
        <v>444</v>
      </c>
      <c r="R281" s="146" t="s">
        <v>10</v>
      </c>
      <c r="S281" s="500"/>
      <c r="T281" s="500"/>
      <c r="U281" s="164">
        <v>7149.6629999999996</v>
      </c>
      <c r="V281" s="164">
        <v>0</v>
      </c>
      <c r="W281" s="164">
        <v>7149.6629999999996</v>
      </c>
      <c r="X281" s="514"/>
      <c r="Y281" s="514"/>
      <c r="Z281" s="514"/>
      <c r="AA281" s="514"/>
      <c r="AB281" s="514"/>
      <c r="AC281" s="514"/>
      <c r="AD281" s="514"/>
      <c r="AE281" s="164"/>
      <c r="AF281" s="160"/>
      <c r="AG281" s="160">
        <f t="shared" si="6"/>
        <v>1902.96731</v>
      </c>
      <c r="AH281" s="170">
        <f t="shared" si="7"/>
        <v>26.616181909552942</v>
      </c>
    </row>
    <row r="282" spans="1:34" ht="42.75" customHeight="1" x14ac:dyDescent="0.2">
      <c r="A282" s="141"/>
      <c r="B282" s="515" t="s">
        <v>11</v>
      </c>
      <c r="C282" s="515"/>
      <c r="D282" s="515"/>
      <c r="E282" s="515"/>
      <c r="F282" s="515"/>
      <c r="G282" s="515"/>
      <c r="H282" s="515"/>
      <c r="I282" s="515"/>
      <c r="J282" s="515"/>
      <c r="K282" s="515"/>
      <c r="L282" s="515"/>
      <c r="M282" s="515"/>
      <c r="N282" s="143">
        <v>806</v>
      </c>
      <c r="O282" s="144">
        <v>7</v>
      </c>
      <c r="P282" s="144">
        <v>3</v>
      </c>
      <c r="Q282" s="145" t="s">
        <v>444</v>
      </c>
      <c r="R282" s="146" t="s">
        <v>12</v>
      </c>
      <c r="S282" s="500"/>
      <c r="T282" s="500"/>
      <c r="U282" s="164">
        <v>7149.6629999999996</v>
      </c>
      <c r="V282" s="164">
        <v>0</v>
      </c>
      <c r="W282" s="164">
        <v>7149.6629999999996</v>
      </c>
      <c r="X282" s="514"/>
      <c r="Y282" s="514"/>
      <c r="Z282" s="514"/>
      <c r="AA282" s="514"/>
      <c r="AB282" s="514"/>
      <c r="AC282" s="514"/>
      <c r="AD282" s="514"/>
      <c r="AE282" s="164"/>
      <c r="AF282" s="160"/>
      <c r="AG282" s="160">
        <v>1902.96731</v>
      </c>
      <c r="AH282" s="170">
        <f t="shared" si="7"/>
        <v>26.616181909552942</v>
      </c>
    </row>
    <row r="283" spans="1:34" ht="12" customHeight="1" x14ac:dyDescent="0.2">
      <c r="A283" s="141"/>
      <c r="B283" s="515" t="s">
        <v>447</v>
      </c>
      <c r="C283" s="515"/>
      <c r="D283" s="515"/>
      <c r="E283" s="515"/>
      <c r="F283" s="515"/>
      <c r="G283" s="515"/>
      <c r="H283" s="515"/>
      <c r="I283" s="515"/>
      <c r="J283" s="515"/>
      <c r="K283" s="515"/>
      <c r="L283" s="515"/>
      <c r="M283" s="515"/>
      <c r="N283" s="143">
        <v>806</v>
      </c>
      <c r="O283" s="144">
        <v>7</v>
      </c>
      <c r="P283" s="144">
        <v>7</v>
      </c>
      <c r="Q283" s="145">
        <v>0</v>
      </c>
      <c r="R283" s="146">
        <v>0</v>
      </c>
      <c r="S283" s="500"/>
      <c r="T283" s="500"/>
      <c r="U283" s="164">
        <v>1230</v>
      </c>
      <c r="V283" s="164">
        <v>0</v>
      </c>
      <c r="W283" s="164">
        <v>1230</v>
      </c>
      <c r="X283" s="514"/>
      <c r="Y283" s="514"/>
      <c r="Z283" s="514"/>
      <c r="AA283" s="514"/>
      <c r="AB283" s="514"/>
      <c r="AC283" s="514"/>
      <c r="AD283" s="514"/>
      <c r="AE283" s="164"/>
      <c r="AF283" s="160"/>
      <c r="AG283" s="160">
        <f t="shared" ref="AG283:AG288" si="8">+AG284</f>
        <v>0</v>
      </c>
      <c r="AH283" s="170">
        <f t="shared" si="7"/>
        <v>0</v>
      </c>
    </row>
    <row r="284" spans="1:34" ht="21.75" customHeight="1" x14ac:dyDescent="0.2">
      <c r="A284" s="141"/>
      <c r="B284" s="515" t="s">
        <v>431</v>
      </c>
      <c r="C284" s="515"/>
      <c r="D284" s="515"/>
      <c r="E284" s="515"/>
      <c r="F284" s="515"/>
      <c r="G284" s="515"/>
      <c r="H284" s="515"/>
      <c r="I284" s="515"/>
      <c r="J284" s="515"/>
      <c r="K284" s="515"/>
      <c r="L284" s="515"/>
      <c r="M284" s="515"/>
      <c r="N284" s="143">
        <v>806</v>
      </c>
      <c r="O284" s="144">
        <v>7</v>
      </c>
      <c r="P284" s="144">
        <v>7</v>
      </c>
      <c r="Q284" s="145" t="s">
        <v>432</v>
      </c>
      <c r="R284" s="146">
        <v>0</v>
      </c>
      <c r="S284" s="500"/>
      <c r="T284" s="500"/>
      <c r="U284" s="164">
        <v>1230</v>
      </c>
      <c r="V284" s="164">
        <v>0</v>
      </c>
      <c r="W284" s="164">
        <v>1230</v>
      </c>
      <c r="X284" s="514"/>
      <c r="Y284" s="514"/>
      <c r="Z284" s="514"/>
      <c r="AA284" s="514"/>
      <c r="AB284" s="514"/>
      <c r="AC284" s="514"/>
      <c r="AD284" s="514"/>
      <c r="AE284" s="164"/>
      <c r="AF284" s="160"/>
      <c r="AG284" s="160">
        <f t="shared" si="8"/>
        <v>0</v>
      </c>
      <c r="AH284" s="170">
        <f t="shared" si="7"/>
        <v>0</v>
      </c>
    </row>
    <row r="285" spans="1:34" ht="12" customHeight="1" x14ac:dyDescent="0.2">
      <c r="A285" s="141"/>
      <c r="B285" s="515" t="s">
        <v>73</v>
      </c>
      <c r="C285" s="515"/>
      <c r="D285" s="515"/>
      <c r="E285" s="515"/>
      <c r="F285" s="515"/>
      <c r="G285" s="515"/>
      <c r="H285" s="515"/>
      <c r="I285" s="515"/>
      <c r="J285" s="515"/>
      <c r="K285" s="515"/>
      <c r="L285" s="515"/>
      <c r="M285" s="515"/>
      <c r="N285" s="143">
        <v>806</v>
      </c>
      <c r="O285" s="144">
        <v>7</v>
      </c>
      <c r="P285" s="144">
        <v>7</v>
      </c>
      <c r="Q285" s="145" t="s">
        <v>448</v>
      </c>
      <c r="R285" s="146">
        <v>0</v>
      </c>
      <c r="S285" s="500"/>
      <c r="T285" s="500"/>
      <c r="U285" s="164">
        <v>1230</v>
      </c>
      <c r="V285" s="164">
        <v>0</v>
      </c>
      <c r="W285" s="164">
        <v>1230</v>
      </c>
      <c r="X285" s="514"/>
      <c r="Y285" s="514"/>
      <c r="Z285" s="514"/>
      <c r="AA285" s="514"/>
      <c r="AB285" s="514"/>
      <c r="AC285" s="514"/>
      <c r="AD285" s="514"/>
      <c r="AE285" s="164"/>
      <c r="AF285" s="160"/>
      <c r="AG285" s="160">
        <f t="shared" si="8"/>
        <v>0</v>
      </c>
      <c r="AH285" s="170">
        <f t="shared" si="7"/>
        <v>0</v>
      </c>
    </row>
    <row r="286" spans="1:34" ht="12" customHeight="1" x14ac:dyDescent="0.2">
      <c r="A286" s="141"/>
      <c r="B286" s="515" t="s">
        <v>74</v>
      </c>
      <c r="C286" s="515"/>
      <c r="D286" s="515"/>
      <c r="E286" s="515"/>
      <c r="F286" s="515"/>
      <c r="G286" s="515"/>
      <c r="H286" s="515"/>
      <c r="I286" s="515"/>
      <c r="J286" s="515"/>
      <c r="K286" s="515"/>
      <c r="L286" s="515"/>
      <c r="M286" s="515"/>
      <c r="N286" s="143">
        <v>806</v>
      </c>
      <c r="O286" s="144">
        <v>7</v>
      </c>
      <c r="P286" s="144">
        <v>7</v>
      </c>
      <c r="Q286" s="145" t="s">
        <v>449</v>
      </c>
      <c r="R286" s="146">
        <v>0</v>
      </c>
      <c r="S286" s="500"/>
      <c r="T286" s="500"/>
      <c r="U286" s="164">
        <v>1230</v>
      </c>
      <c r="V286" s="164">
        <v>0</v>
      </c>
      <c r="W286" s="164">
        <v>1230</v>
      </c>
      <c r="X286" s="514"/>
      <c r="Y286" s="514"/>
      <c r="Z286" s="514"/>
      <c r="AA286" s="514"/>
      <c r="AB286" s="514"/>
      <c r="AC286" s="514"/>
      <c r="AD286" s="514"/>
      <c r="AE286" s="164"/>
      <c r="AF286" s="160"/>
      <c r="AG286" s="160">
        <f t="shared" si="8"/>
        <v>0</v>
      </c>
      <c r="AH286" s="170">
        <f t="shared" si="7"/>
        <v>0</v>
      </c>
    </row>
    <row r="287" spans="1:34" ht="21.75" customHeight="1" x14ac:dyDescent="0.2">
      <c r="A287" s="141"/>
      <c r="B287" s="515" t="s">
        <v>436</v>
      </c>
      <c r="C287" s="515"/>
      <c r="D287" s="515"/>
      <c r="E287" s="515"/>
      <c r="F287" s="515"/>
      <c r="G287" s="515"/>
      <c r="H287" s="515"/>
      <c r="I287" s="515"/>
      <c r="J287" s="515"/>
      <c r="K287" s="515"/>
      <c r="L287" s="515"/>
      <c r="M287" s="515"/>
      <c r="N287" s="143">
        <v>806</v>
      </c>
      <c r="O287" s="144">
        <v>7</v>
      </c>
      <c r="P287" s="144">
        <v>7</v>
      </c>
      <c r="Q287" s="145" t="s">
        <v>449</v>
      </c>
      <c r="R287" s="146" t="s">
        <v>8</v>
      </c>
      <c r="S287" s="500"/>
      <c r="T287" s="500"/>
      <c r="U287" s="164">
        <v>1230</v>
      </c>
      <c r="V287" s="164">
        <v>0</v>
      </c>
      <c r="W287" s="164">
        <v>1230</v>
      </c>
      <c r="X287" s="514"/>
      <c r="Y287" s="514"/>
      <c r="Z287" s="514"/>
      <c r="AA287" s="514"/>
      <c r="AB287" s="514"/>
      <c r="AC287" s="514"/>
      <c r="AD287" s="514"/>
      <c r="AE287" s="164"/>
      <c r="AF287" s="160"/>
      <c r="AG287" s="160">
        <f t="shared" si="8"/>
        <v>0</v>
      </c>
      <c r="AH287" s="170">
        <f t="shared" si="7"/>
        <v>0</v>
      </c>
    </row>
    <row r="288" spans="1:34" ht="12" customHeight="1" x14ac:dyDescent="0.2">
      <c r="A288" s="141"/>
      <c r="B288" s="515" t="s">
        <v>9</v>
      </c>
      <c r="C288" s="515"/>
      <c r="D288" s="515"/>
      <c r="E288" s="515"/>
      <c r="F288" s="515"/>
      <c r="G288" s="515"/>
      <c r="H288" s="515"/>
      <c r="I288" s="515"/>
      <c r="J288" s="515"/>
      <c r="K288" s="515"/>
      <c r="L288" s="515"/>
      <c r="M288" s="515"/>
      <c r="N288" s="143">
        <v>806</v>
      </c>
      <c r="O288" s="144">
        <v>7</v>
      </c>
      <c r="P288" s="144">
        <v>7</v>
      </c>
      <c r="Q288" s="145" t="s">
        <v>449</v>
      </c>
      <c r="R288" s="146" t="s">
        <v>10</v>
      </c>
      <c r="S288" s="500"/>
      <c r="T288" s="500"/>
      <c r="U288" s="164">
        <v>1230</v>
      </c>
      <c r="V288" s="164">
        <v>0</v>
      </c>
      <c r="W288" s="164">
        <v>1230</v>
      </c>
      <c r="X288" s="514"/>
      <c r="Y288" s="514"/>
      <c r="Z288" s="514"/>
      <c r="AA288" s="514"/>
      <c r="AB288" s="514"/>
      <c r="AC288" s="514"/>
      <c r="AD288" s="514"/>
      <c r="AE288" s="164"/>
      <c r="AF288" s="160"/>
      <c r="AG288" s="160">
        <f t="shared" si="8"/>
        <v>0</v>
      </c>
      <c r="AH288" s="170">
        <f t="shared" si="7"/>
        <v>0</v>
      </c>
    </row>
    <row r="289" spans="1:34" ht="42.75" customHeight="1" x14ac:dyDescent="0.2">
      <c r="A289" s="141"/>
      <c r="B289" s="515" t="s">
        <v>11</v>
      </c>
      <c r="C289" s="515"/>
      <c r="D289" s="515"/>
      <c r="E289" s="515"/>
      <c r="F289" s="515"/>
      <c r="G289" s="515"/>
      <c r="H289" s="515"/>
      <c r="I289" s="515"/>
      <c r="J289" s="515"/>
      <c r="K289" s="515"/>
      <c r="L289" s="515"/>
      <c r="M289" s="515"/>
      <c r="N289" s="143">
        <v>806</v>
      </c>
      <c r="O289" s="144">
        <v>7</v>
      </c>
      <c r="P289" s="144">
        <v>7</v>
      </c>
      <c r="Q289" s="145" t="s">
        <v>449</v>
      </c>
      <c r="R289" s="146" t="s">
        <v>12</v>
      </c>
      <c r="S289" s="500"/>
      <c r="T289" s="500"/>
      <c r="U289" s="164">
        <v>1230</v>
      </c>
      <c r="V289" s="164">
        <v>0</v>
      </c>
      <c r="W289" s="164">
        <v>1230</v>
      </c>
      <c r="X289" s="514"/>
      <c r="Y289" s="514"/>
      <c r="Z289" s="514"/>
      <c r="AA289" s="514"/>
      <c r="AB289" s="514"/>
      <c r="AC289" s="514"/>
      <c r="AD289" s="514"/>
      <c r="AE289" s="164"/>
      <c r="AF289" s="160"/>
      <c r="AG289" s="160"/>
      <c r="AH289" s="170">
        <f t="shared" si="7"/>
        <v>0</v>
      </c>
    </row>
    <row r="290" spans="1:34" ht="12" customHeight="1" x14ac:dyDescent="0.2">
      <c r="A290" s="141"/>
      <c r="B290" s="515" t="s">
        <v>75</v>
      </c>
      <c r="C290" s="515"/>
      <c r="D290" s="515"/>
      <c r="E290" s="515"/>
      <c r="F290" s="515"/>
      <c r="G290" s="515"/>
      <c r="H290" s="515"/>
      <c r="I290" s="515"/>
      <c r="J290" s="515"/>
      <c r="K290" s="515"/>
      <c r="L290" s="515"/>
      <c r="M290" s="515"/>
      <c r="N290" s="143">
        <v>806</v>
      </c>
      <c r="O290" s="144">
        <v>7</v>
      </c>
      <c r="P290" s="144">
        <v>9</v>
      </c>
      <c r="Q290" s="145">
        <v>0</v>
      </c>
      <c r="R290" s="146">
        <v>0</v>
      </c>
      <c r="S290" s="500"/>
      <c r="T290" s="500"/>
      <c r="U290" s="164">
        <v>17315.754000000001</v>
      </c>
      <c r="V290" s="164">
        <v>0</v>
      </c>
      <c r="W290" s="164">
        <v>17315.754000000001</v>
      </c>
      <c r="X290" s="514"/>
      <c r="Y290" s="514"/>
      <c r="Z290" s="514"/>
      <c r="AA290" s="514"/>
      <c r="AB290" s="514"/>
      <c r="AC290" s="514"/>
      <c r="AD290" s="514"/>
      <c r="AE290" s="164"/>
      <c r="AF290" s="160"/>
      <c r="AG290" s="160">
        <f>+AG291+AG298</f>
        <v>4686.4971399999995</v>
      </c>
      <c r="AH290" s="170">
        <f t="shared" si="7"/>
        <v>27.064932546396765</v>
      </c>
    </row>
    <row r="291" spans="1:34" ht="21.75" customHeight="1" x14ac:dyDescent="0.2">
      <c r="A291" s="141"/>
      <c r="B291" s="515" t="s">
        <v>431</v>
      </c>
      <c r="C291" s="515"/>
      <c r="D291" s="515"/>
      <c r="E291" s="515"/>
      <c r="F291" s="515"/>
      <c r="G291" s="515"/>
      <c r="H291" s="515"/>
      <c r="I291" s="515"/>
      <c r="J291" s="515"/>
      <c r="K291" s="515"/>
      <c r="L291" s="515"/>
      <c r="M291" s="515"/>
      <c r="N291" s="143">
        <v>806</v>
      </c>
      <c r="O291" s="144">
        <v>7</v>
      </c>
      <c r="P291" s="144">
        <v>9</v>
      </c>
      <c r="Q291" s="145" t="s">
        <v>432</v>
      </c>
      <c r="R291" s="146">
        <v>0</v>
      </c>
      <c r="S291" s="500"/>
      <c r="T291" s="500"/>
      <c r="U291" s="164">
        <v>752.33299999999997</v>
      </c>
      <c r="V291" s="164">
        <v>0</v>
      </c>
      <c r="W291" s="164">
        <v>752.33299999999997</v>
      </c>
      <c r="X291" s="514"/>
      <c r="Y291" s="514"/>
      <c r="Z291" s="514"/>
      <c r="AA291" s="514"/>
      <c r="AB291" s="514"/>
      <c r="AC291" s="514"/>
      <c r="AD291" s="514"/>
      <c r="AE291" s="164"/>
      <c r="AF291" s="160"/>
      <c r="AG291" s="160">
        <f>+AG292</f>
        <v>186.32093</v>
      </c>
      <c r="AH291" s="170">
        <f t="shared" si="7"/>
        <v>24.765752665375572</v>
      </c>
    </row>
    <row r="292" spans="1:34" ht="21.75" customHeight="1" x14ac:dyDescent="0.2">
      <c r="A292" s="141"/>
      <c r="B292" s="515" t="s">
        <v>450</v>
      </c>
      <c r="C292" s="515"/>
      <c r="D292" s="515"/>
      <c r="E292" s="515"/>
      <c r="F292" s="515"/>
      <c r="G292" s="515"/>
      <c r="H292" s="515"/>
      <c r="I292" s="515"/>
      <c r="J292" s="515"/>
      <c r="K292" s="515"/>
      <c r="L292" s="515"/>
      <c r="M292" s="515"/>
      <c r="N292" s="143">
        <v>806</v>
      </c>
      <c r="O292" s="144">
        <v>7</v>
      </c>
      <c r="P292" s="144">
        <v>9</v>
      </c>
      <c r="Q292" s="145" t="s">
        <v>451</v>
      </c>
      <c r="R292" s="146">
        <v>0</v>
      </c>
      <c r="S292" s="500"/>
      <c r="T292" s="500"/>
      <c r="U292" s="164">
        <v>752.33299999999997</v>
      </c>
      <c r="V292" s="164">
        <v>0</v>
      </c>
      <c r="W292" s="164">
        <v>752.33299999999997</v>
      </c>
      <c r="X292" s="514"/>
      <c r="Y292" s="514"/>
      <c r="Z292" s="514"/>
      <c r="AA292" s="514"/>
      <c r="AB292" s="514"/>
      <c r="AC292" s="514"/>
      <c r="AD292" s="514"/>
      <c r="AE292" s="164"/>
      <c r="AF292" s="160"/>
      <c r="AG292" s="160">
        <f>+AG293</f>
        <v>186.32093</v>
      </c>
      <c r="AH292" s="170">
        <f t="shared" si="7"/>
        <v>24.765752665375572</v>
      </c>
    </row>
    <row r="293" spans="1:34" ht="32.25" customHeight="1" x14ac:dyDescent="0.2">
      <c r="A293" s="141"/>
      <c r="B293" s="515" t="s">
        <v>63</v>
      </c>
      <c r="C293" s="515"/>
      <c r="D293" s="515"/>
      <c r="E293" s="515"/>
      <c r="F293" s="515"/>
      <c r="G293" s="515"/>
      <c r="H293" s="515"/>
      <c r="I293" s="515"/>
      <c r="J293" s="515"/>
      <c r="K293" s="515"/>
      <c r="L293" s="515"/>
      <c r="M293" s="515"/>
      <c r="N293" s="143">
        <v>806</v>
      </c>
      <c r="O293" s="144">
        <v>7</v>
      </c>
      <c r="P293" s="144">
        <v>9</v>
      </c>
      <c r="Q293" s="145" t="s">
        <v>452</v>
      </c>
      <c r="R293" s="146">
        <v>0</v>
      </c>
      <c r="S293" s="500"/>
      <c r="T293" s="500"/>
      <c r="U293" s="164">
        <v>752.33299999999997</v>
      </c>
      <c r="V293" s="164">
        <v>0</v>
      </c>
      <c r="W293" s="164">
        <v>752.33299999999997</v>
      </c>
      <c r="X293" s="514"/>
      <c r="Y293" s="514"/>
      <c r="Z293" s="514"/>
      <c r="AA293" s="514"/>
      <c r="AB293" s="514"/>
      <c r="AC293" s="514"/>
      <c r="AD293" s="514"/>
      <c r="AE293" s="164"/>
      <c r="AF293" s="160"/>
      <c r="AG293" s="160">
        <f>+AG294</f>
        <v>186.32093</v>
      </c>
      <c r="AH293" s="170">
        <f t="shared" si="7"/>
        <v>24.765752665375572</v>
      </c>
    </row>
    <row r="294" spans="1:34" ht="53.25" customHeight="1" x14ac:dyDescent="0.2">
      <c r="A294" s="141"/>
      <c r="B294" s="515" t="s">
        <v>17</v>
      </c>
      <c r="C294" s="515"/>
      <c r="D294" s="515"/>
      <c r="E294" s="515"/>
      <c r="F294" s="515"/>
      <c r="G294" s="515"/>
      <c r="H294" s="515"/>
      <c r="I294" s="515"/>
      <c r="J294" s="515"/>
      <c r="K294" s="515"/>
      <c r="L294" s="515"/>
      <c r="M294" s="515"/>
      <c r="N294" s="143">
        <v>806</v>
      </c>
      <c r="O294" s="144">
        <v>7</v>
      </c>
      <c r="P294" s="144">
        <v>9</v>
      </c>
      <c r="Q294" s="145" t="s">
        <v>452</v>
      </c>
      <c r="R294" s="146" t="s">
        <v>18</v>
      </c>
      <c r="S294" s="500"/>
      <c r="T294" s="500"/>
      <c r="U294" s="164">
        <v>752.33299999999997</v>
      </c>
      <c r="V294" s="164">
        <v>0</v>
      </c>
      <c r="W294" s="164">
        <v>752.33299999999997</v>
      </c>
      <c r="X294" s="514"/>
      <c r="Y294" s="514"/>
      <c r="Z294" s="514"/>
      <c r="AA294" s="514"/>
      <c r="AB294" s="514"/>
      <c r="AC294" s="514"/>
      <c r="AD294" s="514"/>
      <c r="AE294" s="164"/>
      <c r="AF294" s="160"/>
      <c r="AG294" s="160">
        <f>+AG295</f>
        <v>186.32093</v>
      </c>
      <c r="AH294" s="170">
        <f t="shared" si="7"/>
        <v>24.765752665375572</v>
      </c>
    </row>
    <row r="295" spans="1:34" ht="21.75" customHeight="1" x14ac:dyDescent="0.2">
      <c r="A295" s="141"/>
      <c r="B295" s="515" t="s">
        <v>37</v>
      </c>
      <c r="C295" s="515"/>
      <c r="D295" s="515"/>
      <c r="E295" s="515"/>
      <c r="F295" s="515"/>
      <c r="G295" s="515"/>
      <c r="H295" s="515"/>
      <c r="I295" s="515"/>
      <c r="J295" s="515"/>
      <c r="K295" s="515"/>
      <c r="L295" s="515"/>
      <c r="M295" s="515"/>
      <c r="N295" s="143">
        <v>806</v>
      </c>
      <c r="O295" s="144">
        <v>7</v>
      </c>
      <c r="P295" s="144">
        <v>9</v>
      </c>
      <c r="Q295" s="145" t="s">
        <v>452</v>
      </c>
      <c r="R295" s="146" t="s">
        <v>38</v>
      </c>
      <c r="S295" s="500"/>
      <c r="T295" s="500"/>
      <c r="U295" s="164">
        <v>752.33299999999997</v>
      </c>
      <c r="V295" s="164">
        <v>0</v>
      </c>
      <c r="W295" s="164">
        <v>752.33299999999997</v>
      </c>
      <c r="X295" s="514"/>
      <c r="Y295" s="514"/>
      <c r="Z295" s="514"/>
      <c r="AA295" s="514"/>
      <c r="AB295" s="514"/>
      <c r="AC295" s="514"/>
      <c r="AD295" s="514"/>
      <c r="AE295" s="164"/>
      <c r="AF295" s="160"/>
      <c r="AG295" s="160">
        <f>+AG296+AG297</f>
        <v>186.32093</v>
      </c>
      <c r="AH295" s="170">
        <f t="shared" si="7"/>
        <v>24.765752665375572</v>
      </c>
    </row>
    <row r="296" spans="1:34" ht="21.75" customHeight="1" x14ac:dyDescent="0.2">
      <c r="A296" s="141"/>
      <c r="B296" s="515" t="s">
        <v>333</v>
      </c>
      <c r="C296" s="515"/>
      <c r="D296" s="515"/>
      <c r="E296" s="515"/>
      <c r="F296" s="515"/>
      <c r="G296" s="515"/>
      <c r="H296" s="515"/>
      <c r="I296" s="515"/>
      <c r="J296" s="515"/>
      <c r="K296" s="515"/>
      <c r="L296" s="515"/>
      <c r="M296" s="515"/>
      <c r="N296" s="143">
        <v>806</v>
      </c>
      <c r="O296" s="144">
        <v>7</v>
      </c>
      <c r="P296" s="144">
        <v>9</v>
      </c>
      <c r="Q296" s="145" t="s">
        <v>452</v>
      </c>
      <c r="R296" s="146" t="s">
        <v>39</v>
      </c>
      <c r="S296" s="500"/>
      <c r="T296" s="500"/>
      <c r="U296" s="164">
        <v>577.82899999999995</v>
      </c>
      <c r="V296" s="164">
        <v>0</v>
      </c>
      <c r="W296" s="164">
        <v>577.82899999999995</v>
      </c>
      <c r="X296" s="514"/>
      <c r="Y296" s="514"/>
      <c r="Z296" s="514"/>
      <c r="AA296" s="514"/>
      <c r="AB296" s="514"/>
      <c r="AC296" s="514"/>
      <c r="AD296" s="514"/>
      <c r="AE296" s="164"/>
      <c r="AF296" s="160"/>
      <c r="AG296" s="160">
        <v>143.10363000000001</v>
      </c>
      <c r="AH296" s="170">
        <f t="shared" si="7"/>
        <v>24.76574038340063</v>
      </c>
    </row>
    <row r="297" spans="1:34" ht="32.25" customHeight="1" x14ac:dyDescent="0.2">
      <c r="A297" s="141"/>
      <c r="B297" s="515" t="s">
        <v>334</v>
      </c>
      <c r="C297" s="515"/>
      <c r="D297" s="515"/>
      <c r="E297" s="515"/>
      <c r="F297" s="515"/>
      <c r="G297" s="515"/>
      <c r="H297" s="515"/>
      <c r="I297" s="515"/>
      <c r="J297" s="515"/>
      <c r="K297" s="515"/>
      <c r="L297" s="515"/>
      <c r="M297" s="515"/>
      <c r="N297" s="143">
        <v>806</v>
      </c>
      <c r="O297" s="144">
        <v>7</v>
      </c>
      <c r="P297" s="144">
        <v>9</v>
      </c>
      <c r="Q297" s="145" t="s">
        <v>452</v>
      </c>
      <c r="R297" s="146" t="s">
        <v>41</v>
      </c>
      <c r="S297" s="500"/>
      <c r="T297" s="500"/>
      <c r="U297" s="164">
        <v>174.50399999999999</v>
      </c>
      <c r="V297" s="164">
        <v>0</v>
      </c>
      <c r="W297" s="164">
        <v>174.50399999999999</v>
      </c>
      <c r="X297" s="514"/>
      <c r="Y297" s="514"/>
      <c r="Z297" s="514"/>
      <c r="AA297" s="514"/>
      <c r="AB297" s="514"/>
      <c r="AC297" s="514"/>
      <c r="AD297" s="514"/>
      <c r="AE297" s="164"/>
      <c r="AF297" s="160"/>
      <c r="AG297" s="160">
        <v>43.217300000000002</v>
      </c>
      <c r="AH297" s="170">
        <f t="shared" si="7"/>
        <v>24.765793334250219</v>
      </c>
    </row>
    <row r="298" spans="1:34" ht="21.75" customHeight="1" x14ac:dyDescent="0.2">
      <c r="A298" s="141"/>
      <c r="B298" s="515" t="s">
        <v>431</v>
      </c>
      <c r="C298" s="515"/>
      <c r="D298" s="515"/>
      <c r="E298" s="515"/>
      <c r="F298" s="515"/>
      <c r="G298" s="515"/>
      <c r="H298" s="515"/>
      <c r="I298" s="515"/>
      <c r="J298" s="515"/>
      <c r="K298" s="515"/>
      <c r="L298" s="515"/>
      <c r="M298" s="515"/>
      <c r="N298" s="143">
        <v>806</v>
      </c>
      <c r="O298" s="144">
        <v>7</v>
      </c>
      <c r="P298" s="144">
        <v>9</v>
      </c>
      <c r="Q298" s="145" t="s">
        <v>432</v>
      </c>
      <c r="R298" s="146">
        <v>0</v>
      </c>
      <c r="S298" s="500"/>
      <c r="T298" s="500"/>
      <c r="U298" s="164">
        <v>16563.420999999998</v>
      </c>
      <c r="V298" s="164">
        <v>0</v>
      </c>
      <c r="W298" s="164">
        <v>16563.420999999998</v>
      </c>
      <c r="X298" s="514"/>
      <c r="Y298" s="514"/>
      <c r="Z298" s="514"/>
      <c r="AA298" s="514"/>
      <c r="AB298" s="514"/>
      <c r="AC298" s="514"/>
      <c r="AD298" s="514"/>
      <c r="AE298" s="164"/>
      <c r="AF298" s="160"/>
      <c r="AG298" s="160">
        <f>+AG299</f>
        <v>4500.1762099999996</v>
      </c>
      <c r="AH298" s="170">
        <f t="shared" si="7"/>
        <v>27.169364408475762</v>
      </c>
    </row>
    <row r="299" spans="1:34" ht="21.75" customHeight="1" x14ac:dyDescent="0.2">
      <c r="A299" s="141"/>
      <c r="B299" s="515" t="s">
        <v>450</v>
      </c>
      <c r="C299" s="515"/>
      <c r="D299" s="515"/>
      <c r="E299" s="515"/>
      <c r="F299" s="515"/>
      <c r="G299" s="515"/>
      <c r="H299" s="515"/>
      <c r="I299" s="515"/>
      <c r="J299" s="515"/>
      <c r="K299" s="515"/>
      <c r="L299" s="515"/>
      <c r="M299" s="515"/>
      <c r="N299" s="143">
        <v>806</v>
      </c>
      <c r="O299" s="144">
        <v>7</v>
      </c>
      <c r="P299" s="144">
        <v>9</v>
      </c>
      <c r="Q299" s="145" t="s">
        <v>451</v>
      </c>
      <c r="R299" s="146">
        <v>0</v>
      </c>
      <c r="S299" s="500"/>
      <c r="T299" s="500"/>
      <c r="U299" s="164">
        <v>16563.420999999998</v>
      </c>
      <c r="V299" s="164">
        <v>0</v>
      </c>
      <c r="W299" s="164">
        <v>16563.420999999998</v>
      </c>
      <c r="X299" s="514"/>
      <c r="Y299" s="514"/>
      <c r="Z299" s="514"/>
      <c r="AA299" s="514"/>
      <c r="AB299" s="514"/>
      <c r="AC299" s="514"/>
      <c r="AD299" s="514"/>
      <c r="AE299" s="164"/>
      <c r="AF299" s="160"/>
      <c r="AG299" s="160">
        <f>+AG300</f>
        <v>4500.1762099999996</v>
      </c>
      <c r="AH299" s="170">
        <f t="shared" si="7"/>
        <v>27.169364408475762</v>
      </c>
    </row>
    <row r="300" spans="1:34" ht="21.75" customHeight="1" x14ac:dyDescent="0.2">
      <c r="A300" s="141"/>
      <c r="B300" s="515" t="s">
        <v>59</v>
      </c>
      <c r="C300" s="515"/>
      <c r="D300" s="515"/>
      <c r="E300" s="515"/>
      <c r="F300" s="515"/>
      <c r="G300" s="515"/>
      <c r="H300" s="515"/>
      <c r="I300" s="515"/>
      <c r="J300" s="515"/>
      <c r="K300" s="515"/>
      <c r="L300" s="515"/>
      <c r="M300" s="515"/>
      <c r="N300" s="143">
        <v>806</v>
      </c>
      <c r="O300" s="144">
        <v>7</v>
      </c>
      <c r="P300" s="144">
        <v>9</v>
      </c>
      <c r="Q300" s="145" t="s">
        <v>453</v>
      </c>
      <c r="R300" s="146">
        <v>0</v>
      </c>
      <c r="S300" s="500"/>
      <c r="T300" s="500"/>
      <c r="U300" s="164">
        <v>16563.420999999998</v>
      </c>
      <c r="V300" s="164">
        <v>0</v>
      </c>
      <c r="W300" s="164">
        <v>16563.420999999998</v>
      </c>
      <c r="X300" s="514"/>
      <c r="Y300" s="514"/>
      <c r="Z300" s="514"/>
      <c r="AA300" s="514"/>
      <c r="AB300" s="514"/>
      <c r="AC300" s="514"/>
      <c r="AD300" s="514"/>
      <c r="AE300" s="164"/>
      <c r="AF300" s="160"/>
      <c r="AG300" s="160">
        <f>+AG301+AG305+AG309</f>
        <v>4500.1762099999996</v>
      </c>
      <c r="AH300" s="170">
        <f t="shared" si="7"/>
        <v>27.169364408475762</v>
      </c>
    </row>
    <row r="301" spans="1:34" ht="53.25" customHeight="1" x14ac:dyDescent="0.2">
      <c r="A301" s="141"/>
      <c r="B301" s="515" t="s">
        <v>17</v>
      </c>
      <c r="C301" s="515"/>
      <c r="D301" s="515"/>
      <c r="E301" s="515"/>
      <c r="F301" s="515"/>
      <c r="G301" s="515"/>
      <c r="H301" s="515"/>
      <c r="I301" s="515"/>
      <c r="J301" s="515"/>
      <c r="K301" s="515"/>
      <c r="L301" s="515"/>
      <c r="M301" s="515"/>
      <c r="N301" s="143">
        <v>806</v>
      </c>
      <c r="O301" s="144">
        <v>7</v>
      </c>
      <c r="P301" s="144">
        <v>9</v>
      </c>
      <c r="Q301" s="145" t="s">
        <v>453</v>
      </c>
      <c r="R301" s="146" t="s">
        <v>18</v>
      </c>
      <c r="S301" s="500"/>
      <c r="T301" s="500"/>
      <c r="U301" s="164">
        <v>15279</v>
      </c>
      <c r="V301" s="164">
        <v>0</v>
      </c>
      <c r="W301" s="164">
        <v>15279</v>
      </c>
      <c r="X301" s="514"/>
      <c r="Y301" s="514"/>
      <c r="Z301" s="514"/>
      <c r="AA301" s="514"/>
      <c r="AB301" s="514"/>
      <c r="AC301" s="514"/>
      <c r="AD301" s="514"/>
      <c r="AE301" s="164"/>
      <c r="AF301" s="160"/>
      <c r="AG301" s="160">
        <f>+AG302</f>
        <v>3934.0141400000002</v>
      </c>
      <c r="AH301" s="170">
        <f t="shared" si="7"/>
        <v>25.747850906472934</v>
      </c>
    </row>
    <row r="302" spans="1:34" ht="12" customHeight="1" x14ac:dyDescent="0.2">
      <c r="A302" s="141"/>
      <c r="B302" s="515" t="s">
        <v>19</v>
      </c>
      <c r="C302" s="515"/>
      <c r="D302" s="515"/>
      <c r="E302" s="515"/>
      <c r="F302" s="515"/>
      <c r="G302" s="515"/>
      <c r="H302" s="515"/>
      <c r="I302" s="515"/>
      <c r="J302" s="515"/>
      <c r="K302" s="515"/>
      <c r="L302" s="515"/>
      <c r="M302" s="515"/>
      <c r="N302" s="143">
        <v>806</v>
      </c>
      <c r="O302" s="144">
        <v>7</v>
      </c>
      <c r="P302" s="144">
        <v>9</v>
      </c>
      <c r="Q302" s="145" t="s">
        <v>453</v>
      </c>
      <c r="R302" s="146" t="s">
        <v>20</v>
      </c>
      <c r="S302" s="500"/>
      <c r="T302" s="500"/>
      <c r="U302" s="164">
        <v>15279</v>
      </c>
      <c r="V302" s="164">
        <v>0</v>
      </c>
      <c r="W302" s="164">
        <v>15279</v>
      </c>
      <c r="X302" s="514"/>
      <c r="Y302" s="514"/>
      <c r="Z302" s="514"/>
      <c r="AA302" s="514"/>
      <c r="AB302" s="514"/>
      <c r="AC302" s="514"/>
      <c r="AD302" s="514"/>
      <c r="AE302" s="164"/>
      <c r="AF302" s="160"/>
      <c r="AG302" s="160">
        <f>+AG303+AG304</f>
        <v>3934.0141400000002</v>
      </c>
      <c r="AH302" s="170">
        <f t="shared" si="7"/>
        <v>25.747850906472934</v>
      </c>
    </row>
    <row r="303" spans="1:34" ht="12" customHeight="1" x14ac:dyDescent="0.2">
      <c r="A303" s="141"/>
      <c r="B303" s="515" t="s">
        <v>404</v>
      </c>
      <c r="C303" s="515"/>
      <c r="D303" s="515"/>
      <c r="E303" s="515"/>
      <c r="F303" s="515"/>
      <c r="G303" s="515"/>
      <c r="H303" s="515"/>
      <c r="I303" s="515"/>
      <c r="J303" s="515"/>
      <c r="K303" s="515"/>
      <c r="L303" s="515"/>
      <c r="M303" s="515"/>
      <c r="N303" s="143">
        <v>806</v>
      </c>
      <c r="O303" s="144">
        <v>7</v>
      </c>
      <c r="P303" s="144">
        <v>9</v>
      </c>
      <c r="Q303" s="145" t="s">
        <v>453</v>
      </c>
      <c r="R303" s="146" t="s">
        <v>21</v>
      </c>
      <c r="S303" s="500"/>
      <c r="T303" s="500"/>
      <c r="U303" s="164">
        <v>11735.022999999999</v>
      </c>
      <c r="V303" s="164">
        <v>0</v>
      </c>
      <c r="W303" s="164">
        <v>11735.022999999999</v>
      </c>
      <c r="X303" s="514"/>
      <c r="Y303" s="514"/>
      <c r="Z303" s="514"/>
      <c r="AA303" s="514"/>
      <c r="AB303" s="514"/>
      <c r="AC303" s="514"/>
      <c r="AD303" s="514"/>
      <c r="AE303" s="164"/>
      <c r="AF303" s="160"/>
      <c r="AG303" s="160">
        <v>3025.3278500000001</v>
      </c>
      <c r="AH303" s="170">
        <f t="shared" si="7"/>
        <v>25.780331661897897</v>
      </c>
    </row>
    <row r="304" spans="1:34" ht="32.25" customHeight="1" x14ac:dyDescent="0.2">
      <c r="A304" s="141"/>
      <c r="B304" s="515" t="s">
        <v>406</v>
      </c>
      <c r="C304" s="515"/>
      <c r="D304" s="515"/>
      <c r="E304" s="515"/>
      <c r="F304" s="515"/>
      <c r="G304" s="515"/>
      <c r="H304" s="515"/>
      <c r="I304" s="515"/>
      <c r="J304" s="515"/>
      <c r="K304" s="515"/>
      <c r="L304" s="515"/>
      <c r="M304" s="515"/>
      <c r="N304" s="143">
        <v>806</v>
      </c>
      <c r="O304" s="144">
        <v>7</v>
      </c>
      <c r="P304" s="144">
        <v>9</v>
      </c>
      <c r="Q304" s="145" t="s">
        <v>453</v>
      </c>
      <c r="R304" s="146" t="s">
        <v>23</v>
      </c>
      <c r="S304" s="500"/>
      <c r="T304" s="500"/>
      <c r="U304" s="164">
        <v>3543.9769999999999</v>
      </c>
      <c r="V304" s="164">
        <v>0</v>
      </c>
      <c r="W304" s="164">
        <v>3543.9769999999999</v>
      </c>
      <c r="X304" s="514"/>
      <c r="Y304" s="514"/>
      <c r="Z304" s="514"/>
      <c r="AA304" s="514"/>
      <c r="AB304" s="514"/>
      <c r="AC304" s="514"/>
      <c r="AD304" s="514"/>
      <c r="AE304" s="164"/>
      <c r="AF304" s="160"/>
      <c r="AG304" s="160">
        <v>908.68628999999999</v>
      </c>
      <c r="AH304" s="170">
        <f t="shared" si="7"/>
        <v>25.64029873783041</v>
      </c>
    </row>
    <row r="305" spans="1:34" ht="21.75" customHeight="1" x14ac:dyDescent="0.2">
      <c r="A305" s="141"/>
      <c r="B305" s="515" t="s">
        <v>345</v>
      </c>
      <c r="C305" s="515"/>
      <c r="D305" s="515"/>
      <c r="E305" s="515"/>
      <c r="F305" s="515"/>
      <c r="G305" s="515"/>
      <c r="H305" s="515"/>
      <c r="I305" s="515"/>
      <c r="J305" s="515"/>
      <c r="K305" s="515"/>
      <c r="L305" s="515"/>
      <c r="M305" s="515"/>
      <c r="N305" s="143">
        <v>806</v>
      </c>
      <c r="O305" s="144">
        <v>7</v>
      </c>
      <c r="P305" s="144">
        <v>9</v>
      </c>
      <c r="Q305" s="145" t="s">
        <v>453</v>
      </c>
      <c r="R305" s="146" t="s">
        <v>24</v>
      </c>
      <c r="S305" s="500"/>
      <c r="T305" s="500"/>
      <c r="U305" s="164">
        <v>1231.421</v>
      </c>
      <c r="V305" s="164">
        <v>0</v>
      </c>
      <c r="W305" s="164">
        <v>1231.421</v>
      </c>
      <c r="X305" s="514"/>
      <c r="Y305" s="514"/>
      <c r="Z305" s="514"/>
      <c r="AA305" s="514"/>
      <c r="AB305" s="514"/>
      <c r="AC305" s="514"/>
      <c r="AD305" s="514"/>
      <c r="AE305" s="164"/>
      <c r="AF305" s="160"/>
      <c r="AG305" s="160">
        <f>+AG306</f>
        <v>548.72685999999999</v>
      </c>
      <c r="AH305" s="170">
        <f t="shared" si="7"/>
        <v>44.56045982649313</v>
      </c>
    </row>
    <row r="306" spans="1:34" ht="21.75" customHeight="1" x14ac:dyDescent="0.2">
      <c r="A306" s="141"/>
      <c r="B306" s="515" t="s">
        <v>346</v>
      </c>
      <c r="C306" s="515"/>
      <c r="D306" s="515"/>
      <c r="E306" s="515"/>
      <c r="F306" s="515"/>
      <c r="G306" s="515"/>
      <c r="H306" s="515"/>
      <c r="I306" s="515"/>
      <c r="J306" s="515"/>
      <c r="K306" s="515"/>
      <c r="L306" s="515"/>
      <c r="M306" s="515"/>
      <c r="N306" s="143">
        <v>806</v>
      </c>
      <c r="O306" s="144">
        <v>7</v>
      </c>
      <c r="P306" s="144">
        <v>9</v>
      </c>
      <c r="Q306" s="145" t="s">
        <v>453</v>
      </c>
      <c r="R306" s="146" t="s">
        <v>26</v>
      </c>
      <c r="S306" s="500"/>
      <c r="T306" s="500"/>
      <c r="U306" s="164">
        <v>1231.421</v>
      </c>
      <c r="V306" s="164">
        <v>0</v>
      </c>
      <c r="W306" s="164">
        <v>1231.421</v>
      </c>
      <c r="X306" s="514"/>
      <c r="Y306" s="514"/>
      <c r="Z306" s="514"/>
      <c r="AA306" s="514"/>
      <c r="AB306" s="514"/>
      <c r="AC306" s="514"/>
      <c r="AD306" s="514"/>
      <c r="AE306" s="164"/>
      <c r="AF306" s="160"/>
      <c r="AG306" s="160">
        <f>+AG307+AG308</f>
        <v>548.72685999999999</v>
      </c>
      <c r="AH306" s="170">
        <f t="shared" si="7"/>
        <v>44.56045982649313</v>
      </c>
    </row>
    <row r="307" spans="1:34" ht="21.75" customHeight="1" x14ac:dyDescent="0.2">
      <c r="A307" s="141"/>
      <c r="B307" s="515" t="s">
        <v>347</v>
      </c>
      <c r="C307" s="515"/>
      <c r="D307" s="515"/>
      <c r="E307" s="515"/>
      <c r="F307" s="515"/>
      <c r="G307" s="515"/>
      <c r="H307" s="515"/>
      <c r="I307" s="515"/>
      <c r="J307" s="515"/>
      <c r="K307" s="515"/>
      <c r="L307" s="515"/>
      <c r="M307" s="515"/>
      <c r="N307" s="143">
        <v>806</v>
      </c>
      <c r="O307" s="144">
        <v>7</v>
      </c>
      <c r="P307" s="144">
        <v>9</v>
      </c>
      <c r="Q307" s="145" t="s">
        <v>453</v>
      </c>
      <c r="R307" s="146" t="s">
        <v>27</v>
      </c>
      <c r="S307" s="500"/>
      <c r="T307" s="500"/>
      <c r="U307" s="164">
        <v>299.2</v>
      </c>
      <c r="V307" s="164">
        <v>0</v>
      </c>
      <c r="W307" s="164">
        <v>299.2</v>
      </c>
      <c r="X307" s="514"/>
      <c r="Y307" s="514"/>
      <c r="Z307" s="514"/>
      <c r="AA307" s="514"/>
      <c r="AB307" s="514"/>
      <c r="AC307" s="514"/>
      <c r="AD307" s="514"/>
      <c r="AE307" s="164"/>
      <c r="AF307" s="160"/>
      <c r="AG307" s="160">
        <v>175.29302000000001</v>
      </c>
      <c r="AH307" s="170">
        <f t="shared" si="7"/>
        <v>58.58723930481284</v>
      </c>
    </row>
    <row r="308" spans="1:34" ht="12" customHeight="1" x14ac:dyDescent="0.2">
      <c r="A308" s="141"/>
      <c r="B308" s="515" t="s">
        <v>348</v>
      </c>
      <c r="C308" s="515"/>
      <c r="D308" s="515"/>
      <c r="E308" s="515"/>
      <c r="F308" s="515"/>
      <c r="G308" s="515"/>
      <c r="H308" s="515"/>
      <c r="I308" s="515"/>
      <c r="J308" s="515"/>
      <c r="K308" s="515"/>
      <c r="L308" s="515"/>
      <c r="M308" s="515"/>
      <c r="N308" s="143">
        <v>806</v>
      </c>
      <c r="O308" s="144">
        <v>7</v>
      </c>
      <c r="P308" s="144">
        <v>9</v>
      </c>
      <c r="Q308" s="145" t="s">
        <v>453</v>
      </c>
      <c r="R308" s="146" t="s">
        <v>28</v>
      </c>
      <c r="S308" s="500"/>
      <c r="T308" s="500"/>
      <c r="U308" s="164">
        <v>932.221</v>
      </c>
      <c r="V308" s="164">
        <v>0</v>
      </c>
      <c r="W308" s="164">
        <v>932.221</v>
      </c>
      <c r="X308" s="514"/>
      <c r="Y308" s="514"/>
      <c r="Z308" s="514"/>
      <c r="AA308" s="514"/>
      <c r="AB308" s="514"/>
      <c r="AC308" s="514"/>
      <c r="AD308" s="514"/>
      <c r="AE308" s="164"/>
      <c r="AF308" s="160"/>
      <c r="AG308" s="160">
        <v>373.43383999999998</v>
      </c>
      <c r="AH308" s="170">
        <f t="shared" si="7"/>
        <v>40.058509731061626</v>
      </c>
    </row>
    <row r="309" spans="1:34" ht="12" customHeight="1" x14ac:dyDescent="0.2">
      <c r="A309" s="141"/>
      <c r="B309" s="515" t="s">
        <v>29</v>
      </c>
      <c r="C309" s="515"/>
      <c r="D309" s="515"/>
      <c r="E309" s="515"/>
      <c r="F309" s="515"/>
      <c r="G309" s="515"/>
      <c r="H309" s="515"/>
      <c r="I309" s="515"/>
      <c r="J309" s="515"/>
      <c r="K309" s="515"/>
      <c r="L309" s="515"/>
      <c r="M309" s="515"/>
      <c r="N309" s="143">
        <v>806</v>
      </c>
      <c r="O309" s="144">
        <v>7</v>
      </c>
      <c r="P309" s="144">
        <v>9</v>
      </c>
      <c r="Q309" s="145" t="s">
        <v>453</v>
      </c>
      <c r="R309" s="146" t="s">
        <v>30</v>
      </c>
      <c r="S309" s="500"/>
      <c r="T309" s="500"/>
      <c r="U309" s="164">
        <v>53</v>
      </c>
      <c r="V309" s="164">
        <v>0</v>
      </c>
      <c r="W309" s="164">
        <v>53</v>
      </c>
      <c r="X309" s="514"/>
      <c r="Y309" s="514"/>
      <c r="Z309" s="514"/>
      <c r="AA309" s="514"/>
      <c r="AB309" s="514"/>
      <c r="AC309" s="514"/>
      <c r="AD309" s="514"/>
      <c r="AE309" s="164"/>
      <c r="AF309" s="160"/>
      <c r="AG309" s="160">
        <f>+AG310</f>
        <v>17.435210000000001</v>
      </c>
      <c r="AH309" s="170">
        <f t="shared" si="7"/>
        <v>32.896622641509438</v>
      </c>
    </row>
    <row r="310" spans="1:34" ht="12" customHeight="1" x14ac:dyDescent="0.2">
      <c r="A310" s="141"/>
      <c r="B310" s="515" t="s">
        <v>349</v>
      </c>
      <c r="C310" s="515"/>
      <c r="D310" s="515"/>
      <c r="E310" s="515"/>
      <c r="F310" s="515"/>
      <c r="G310" s="515"/>
      <c r="H310" s="515"/>
      <c r="I310" s="515"/>
      <c r="J310" s="515"/>
      <c r="K310" s="515"/>
      <c r="L310" s="515"/>
      <c r="M310" s="515"/>
      <c r="N310" s="143">
        <v>806</v>
      </c>
      <c r="O310" s="144">
        <v>7</v>
      </c>
      <c r="P310" s="144">
        <v>9</v>
      </c>
      <c r="Q310" s="145" t="s">
        <v>453</v>
      </c>
      <c r="R310" s="146" t="s">
        <v>31</v>
      </c>
      <c r="S310" s="500"/>
      <c r="T310" s="500"/>
      <c r="U310" s="164">
        <v>53</v>
      </c>
      <c r="V310" s="164">
        <v>0</v>
      </c>
      <c r="W310" s="164">
        <v>53</v>
      </c>
      <c r="X310" s="514"/>
      <c r="Y310" s="514"/>
      <c r="Z310" s="514"/>
      <c r="AA310" s="514"/>
      <c r="AB310" s="514"/>
      <c r="AC310" s="514"/>
      <c r="AD310" s="514"/>
      <c r="AE310" s="164"/>
      <c r="AF310" s="160"/>
      <c r="AG310" s="160">
        <f>+AG311+AG312+AG313</f>
        <v>17.435210000000001</v>
      </c>
      <c r="AH310" s="170">
        <f t="shared" si="7"/>
        <v>32.896622641509438</v>
      </c>
    </row>
    <row r="311" spans="1:34" ht="21.75" customHeight="1" x14ac:dyDescent="0.2">
      <c r="A311" s="141"/>
      <c r="B311" s="515" t="s">
        <v>32</v>
      </c>
      <c r="C311" s="515"/>
      <c r="D311" s="515"/>
      <c r="E311" s="515"/>
      <c r="F311" s="515"/>
      <c r="G311" s="515"/>
      <c r="H311" s="515"/>
      <c r="I311" s="515"/>
      <c r="J311" s="515"/>
      <c r="K311" s="515"/>
      <c r="L311" s="515"/>
      <c r="M311" s="515"/>
      <c r="N311" s="143">
        <v>806</v>
      </c>
      <c r="O311" s="144">
        <v>7</v>
      </c>
      <c r="P311" s="144">
        <v>9</v>
      </c>
      <c r="Q311" s="145" t="s">
        <v>453</v>
      </c>
      <c r="R311" s="146" t="s">
        <v>33</v>
      </c>
      <c r="S311" s="500"/>
      <c r="T311" s="500"/>
      <c r="U311" s="164">
        <v>33</v>
      </c>
      <c r="V311" s="164">
        <v>0</v>
      </c>
      <c r="W311" s="164">
        <v>33</v>
      </c>
      <c r="X311" s="514"/>
      <c r="Y311" s="514"/>
      <c r="Z311" s="514"/>
      <c r="AA311" s="514"/>
      <c r="AB311" s="514"/>
      <c r="AC311" s="514"/>
      <c r="AD311" s="514"/>
      <c r="AE311" s="164"/>
      <c r="AF311" s="160"/>
      <c r="AG311" s="160">
        <v>7.2750000000000004</v>
      </c>
      <c r="AH311" s="170">
        <f t="shared" si="7"/>
        <v>22.045454545454547</v>
      </c>
    </row>
    <row r="312" spans="1:34" ht="12" customHeight="1" x14ac:dyDescent="0.2">
      <c r="A312" s="141"/>
      <c r="B312" s="515" t="s">
        <v>350</v>
      </c>
      <c r="C312" s="515"/>
      <c r="D312" s="515"/>
      <c r="E312" s="515"/>
      <c r="F312" s="515"/>
      <c r="G312" s="515"/>
      <c r="H312" s="515"/>
      <c r="I312" s="515"/>
      <c r="J312" s="515"/>
      <c r="K312" s="515"/>
      <c r="L312" s="515"/>
      <c r="M312" s="515"/>
      <c r="N312" s="143">
        <v>806</v>
      </c>
      <c r="O312" s="144">
        <v>7</v>
      </c>
      <c r="P312" s="144">
        <v>9</v>
      </c>
      <c r="Q312" s="145" t="s">
        <v>453</v>
      </c>
      <c r="R312" s="146" t="s">
        <v>34</v>
      </c>
      <c r="S312" s="500"/>
      <c r="T312" s="500"/>
      <c r="U312" s="164">
        <v>6</v>
      </c>
      <c r="V312" s="164">
        <v>0</v>
      </c>
      <c r="W312" s="164">
        <v>6</v>
      </c>
      <c r="X312" s="514"/>
      <c r="Y312" s="514"/>
      <c r="Z312" s="514"/>
      <c r="AA312" s="514"/>
      <c r="AB312" s="514"/>
      <c r="AC312" s="514"/>
      <c r="AD312" s="514"/>
      <c r="AE312" s="164"/>
      <c r="AF312" s="160"/>
      <c r="AG312" s="160">
        <v>6</v>
      </c>
      <c r="AH312" s="170">
        <f t="shared" si="7"/>
        <v>100</v>
      </c>
    </row>
    <row r="313" spans="1:34" ht="12" customHeight="1" x14ac:dyDescent="0.2">
      <c r="A313" s="141"/>
      <c r="B313" s="515" t="s">
        <v>81</v>
      </c>
      <c r="C313" s="515"/>
      <c r="D313" s="515"/>
      <c r="E313" s="515"/>
      <c r="F313" s="515"/>
      <c r="G313" s="515"/>
      <c r="H313" s="515"/>
      <c r="I313" s="515"/>
      <c r="J313" s="515"/>
      <c r="K313" s="515"/>
      <c r="L313" s="515"/>
      <c r="M313" s="515"/>
      <c r="N313" s="143">
        <v>806</v>
      </c>
      <c r="O313" s="144">
        <v>7</v>
      </c>
      <c r="P313" s="144">
        <v>9</v>
      </c>
      <c r="Q313" s="145" t="s">
        <v>453</v>
      </c>
      <c r="R313" s="146" t="s">
        <v>82</v>
      </c>
      <c r="S313" s="500"/>
      <c r="T313" s="500"/>
      <c r="U313" s="164">
        <v>14</v>
      </c>
      <c r="V313" s="164">
        <v>0</v>
      </c>
      <c r="W313" s="164">
        <v>14</v>
      </c>
      <c r="X313" s="514"/>
      <c r="Y313" s="514"/>
      <c r="Z313" s="514"/>
      <c r="AA313" s="514"/>
      <c r="AB313" s="514"/>
      <c r="AC313" s="514"/>
      <c r="AD313" s="514"/>
      <c r="AE313" s="164"/>
      <c r="AF313" s="160"/>
      <c r="AG313" s="160">
        <v>4.1602100000000002</v>
      </c>
      <c r="AH313" s="170">
        <f t="shared" si="7"/>
        <v>29.715785714285715</v>
      </c>
    </row>
    <row r="314" spans="1:34" ht="12" customHeight="1" x14ac:dyDescent="0.2">
      <c r="A314" s="141"/>
      <c r="B314" s="515" t="s">
        <v>150</v>
      </c>
      <c r="C314" s="515"/>
      <c r="D314" s="515"/>
      <c r="E314" s="515"/>
      <c r="F314" s="515"/>
      <c r="G314" s="515"/>
      <c r="H314" s="515"/>
      <c r="I314" s="515"/>
      <c r="J314" s="515"/>
      <c r="K314" s="515"/>
      <c r="L314" s="515"/>
      <c r="M314" s="515"/>
      <c r="N314" s="143">
        <v>806</v>
      </c>
      <c r="O314" s="144">
        <v>10</v>
      </c>
      <c r="P314" s="144">
        <v>0</v>
      </c>
      <c r="Q314" s="145">
        <v>0</v>
      </c>
      <c r="R314" s="146">
        <v>0</v>
      </c>
      <c r="S314" s="500"/>
      <c r="T314" s="500"/>
      <c r="U314" s="164">
        <v>4743.5</v>
      </c>
      <c r="V314" s="164">
        <v>0</v>
      </c>
      <c r="W314" s="164">
        <v>4743.5</v>
      </c>
      <c r="X314" s="514"/>
      <c r="Y314" s="514"/>
      <c r="Z314" s="514"/>
      <c r="AA314" s="514"/>
      <c r="AB314" s="514"/>
      <c r="AC314" s="514"/>
      <c r="AD314" s="514"/>
      <c r="AE314" s="164"/>
      <c r="AF314" s="160"/>
      <c r="AG314" s="160">
        <f>+AG315+AG322</f>
        <v>779.09100000000001</v>
      </c>
      <c r="AH314" s="170">
        <f t="shared" si="7"/>
        <v>16.424391272267314</v>
      </c>
    </row>
    <row r="315" spans="1:34" ht="12" customHeight="1" x14ac:dyDescent="0.2">
      <c r="A315" s="141"/>
      <c r="B315" s="515" t="s">
        <v>52</v>
      </c>
      <c r="C315" s="515"/>
      <c r="D315" s="515"/>
      <c r="E315" s="515"/>
      <c r="F315" s="515"/>
      <c r="G315" s="515"/>
      <c r="H315" s="515"/>
      <c r="I315" s="515"/>
      <c r="J315" s="515"/>
      <c r="K315" s="515"/>
      <c r="L315" s="515"/>
      <c r="M315" s="515"/>
      <c r="N315" s="143">
        <v>806</v>
      </c>
      <c r="O315" s="144">
        <v>10</v>
      </c>
      <c r="P315" s="144">
        <v>3</v>
      </c>
      <c r="Q315" s="145">
        <v>0</v>
      </c>
      <c r="R315" s="146">
        <v>0</v>
      </c>
      <c r="S315" s="500"/>
      <c r="T315" s="500"/>
      <c r="U315" s="164">
        <v>1042.3</v>
      </c>
      <c r="V315" s="164">
        <v>0</v>
      </c>
      <c r="W315" s="164">
        <v>1042.3</v>
      </c>
      <c r="X315" s="514"/>
      <c r="Y315" s="514"/>
      <c r="Z315" s="514"/>
      <c r="AA315" s="514"/>
      <c r="AB315" s="514"/>
      <c r="AC315" s="514"/>
      <c r="AD315" s="514"/>
      <c r="AE315" s="164"/>
      <c r="AF315" s="160"/>
      <c r="AG315" s="160">
        <f t="shared" ref="AG315:AG320" si="9">+AG316</f>
        <v>0</v>
      </c>
      <c r="AH315" s="170">
        <f t="shared" si="7"/>
        <v>0</v>
      </c>
    </row>
    <row r="316" spans="1:34" ht="21.75" customHeight="1" x14ac:dyDescent="0.2">
      <c r="A316" s="141"/>
      <c r="B316" s="515" t="s">
        <v>431</v>
      </c>
      <c r="C316" s="515"/>
      <c r="D316" s="515"/>
      <c r="E316" s="515"/>
      <c r="F316" s="515"/>
      <c r="G316" s="515"/>
      <c r="H316" s="515"/>
      <c r="I316" s="515"/>
      <c r="J316" s="515"/>
      <c r="K316" s="515"/>
      <c r="L316" s="515"/>
      <c r="M316" s="515"/>
      <c r="N316" s="143">
        <v>806</v>
      </c>
      <c r="O316" s="144">
        <v>10</v>
      </c>
      <c r="P316" s="144">
        <v>3</v>
      </c>
      <c r="Q316" s="145" t="s">
        <v>432</v>
      </c>
      <c r="R316" s="146">
        <v>0</v>
      </c>
      <c r="S316" s="500"/>
      <c r="T316" s="500"/>
      <c r="U316" s="164">
        <v>1042.3</v>
      </c>
      <c r="V316" s="164">
        <v>0</v>
      </c>
      <c r="W316" s="164">
        <v>1042.3</v>
      </c>
      <c r="X316" s="514"/>
      <c r="Y316" s="514"/>
      <c r="Z316" s="514"/>
      <c r="AA316" s="514"/>
      <c r="AB316" s="514"/>
      <c r="AC316" s="514"/>
      <c r="AD316" s="514"/>
      <c r="AE316" s="164"/>
      <c r="AF316" s="160"/>
      <c r="AG316" s="160">
        <f t="shared" si="9"/>
        <v>0</v>
      </c>
      <c r="AH316" s="170">
        <f t="shared" si="7"/>
        <v>0</v>
      </c>
    </row>
    <row r="317" spans="1:34" ht="32.25" customHeight="1" x14ac:dyDescent="0.2">
      <c r="A317" s="141"/>
      <c r="B317" s="515" t="s">
        <v>499</v>
      </c>
      <c r="C317" s="515"/>
      <c r="D317" s="515"/>
      <c r="E317" s="515"/>
      <c r="F317" s="515"/>
      <c r="G317" s="515"/>
      <c r="H317" s="515"/>
      <c r="I317" s="515"/>
      <c r="J317" s="515"/>
      <c r="K317" s="515"/>
      <c r="L317" s="515"/>
      <c r="M317" s="515"/>
      <c r="N317" s="143">
        <v>806</v>
      </c>
      <c r="O317" s="144">
        <v>10</v>
      </c>
      <c r="P317" s="144">
        <v>3</v>
      </c>
      <c r="Q317" s="145" t="s">
        <v>500</v>
      </c>
      <c r="R317" s="146">
        <v>0</v>
      </c>
      <c r="S317" s="500"/>
      <c r="T317" s="500"/>
      <c r="U317" s="164">
        <v>1042.3</v>
      </c>
      <c r="V317" s="164">
        <v>0</v>
      </c>
      <c r="W317" s="164">
        <v>1042.3</v>
      </c>
      <c r="X317" s="514"/>
      <c r="Y317" s="514"/>
      <c r="Z317" s="514"/>
      <c r="AA317" s="514"/>
      <c r="AB317" s="514"/>
      <c r="AC317" s="514"/>
      <c r="AD317" s="514"/>
      <c r="AE317" s="164"/>
      <c r="AF317" s="160"/>
      <c r="AG317" s="160">
        <f t="shared" si="9"/>
        <v>0</v>
      </c>
      <c r="AH317" s="170">
        <f t="shared" si="7"/>
        <v>0</v>
      </c>
    </row>
    <row r="318" spans="1:34" ht="32.25" customHeight="1" x14ac:dyDescent="0.2">
      <c r="A318" s="141"/>
      <c r="B318" s="515" t="s">
        <v>7</v>
      </c>
      <c r="C318" s="515"/>
      <c r="D318" s="515"/>
      <c r="E318" s="515"/>
      <c r="F318" s="515"/>
      <c r="G318" s="515"/>
      <c r="H318" s="515"/>
      <c r="I318" s="515"/>
      <c r="J318" s="515"/>
      <c r="K318" s="515"/>
      <c r="L318" s="515"/>
      <c r="M318" s="515"/>
      <c r="N318" s="143">
        <v>806</v>
      </c>
      <c r="O318" s="144">
        <v>10</v>
      </c>
      <c r="P318" s="144">
        <v>3</v>
      </c>
      <c r="Q318" s="145" t="s">
        <v>501</v>
      </c>
      <c r="R318" s="146">
        <v>0</v>
      </c>
      <c r="S318" s="500"/>
      <c r="T318" s="500"/>
      <c r="U318" s="164">
        <v>1042.3</v>
      </c>
      <c r="V318" s="164">
        <v>0</v>
      </c>
      <c r="W318" s="164">
        <v>1042.3</v>
      </c>
      <c r="X318" s="514"/>
      <c r="Y318" s="514"/>
      <c r="Z318" s="514"/>
      <c r="AA318" s="514"/>
      <c r="AB318" s="514"/>
      <c r="AC318" s="514"/>
      <c r="AD318" s="514"/>
      <c r="AE318" s="164"/>
      <c r="AF318" s="160"/>
      <c r="AG318" s="160">
        <f t="shared" si="9"/>
        <v>0</v>
      </c>
      <c r="AH318" s="170">
        <f t="shared" si="7"/>
        <v>0</v>
      </c>
    </row>
    <row r="319" spans="1:34" ht="21.75" customHeight="1" x14ac:dyDescent="0.2">
      <c r="A319" s="141"/>
      <c r="B319" s="515" t="s">
        <v>436</v>
      </c>
      <c r="C319" s="515"/>
      <c r="D319" s="515"/>
      <c r="E319" s="515"/>
      <c r="F319" s="515"/>
      <c r="G319" s="515"/>
      <c r="H319" s="515"/>
      <c r="I319" s="515"/>
      <c r="J319" s="515"/>
      <c r="K319" s="515"/>
      <c r="L319" s="515"/>
      <c r="M319" s="515"/>
      <c r="N319" s="143">
        <v>806</v>
      </c>
      <c r="O319" s="144">
        <v>10</v>
      </c>
      <c r="P319" s="144">
        <v>3</v>
      </c>
      <c r="Q319" s="145" t="s">
        <v>501</v>
      </c>
      <c r="R319" s="146" t="s">
        <v>8</v>
      </c>
      <c r="S319" s="500"/>
      <c r="T319" s="500"/>
      <c r="U319" s="164">
        <v>1042.3</v>
      </c>
      <c r="V319" s="164">
        <v>0</v>
      </c>
      <c r="W319" s="164">
        <v>1042.3</v>
      </c>
      <c r="X319" s="514"/>
      <c r="Y319" s="514"/>
      <c r="Z319" s="514"/>
      <c r="AA319" s="514"/>
      <c r="AB319" s="514"/>
      <c r="AC319" s="514"/>
      <c r="AD319" s="514"/>
      <c r="AE319" s="164"/>
      <c r="AF319" s="160"/>
      <c r="AG319" s="160">
        <f t="shared" si="9"/>
        <v>0</v>
      </c>
      <c r="AH319" s="170">
        <f t="shared" si="7"/>
        <v>0</v>
      </c>
    </row>
    <row r="320" spans="1:34" ht="12" customHeight="1" x14ac:dyDescent="0.2">
      <c r="A320" s="141"/>
      <c r="B320" s="515" t="s">
        <v>9</v>
      </c>
      <c r="C320" s="515"/>
      <c r="D320" s="515"/>
      <c r="E320" s="515"/>
      <c r="F320" s="515"/>
      <c r="G320" s="515"/>
      <c r="H320" s="515"/>
      <c r="I320" s="515"/>
      <c r="J320" s="515"/>
      <c r="K320" s="515"/>
      <c r="L320" s="515"/>
      <c r="M320" s="515"/>
      <c r="N320" s="143">
        <v>806</v>
      </c>
      <c r="O320" s="144">
        <v>10</v>
      </c>
      <c r="P320" s="144">
        <v>3</v>
      </c>
      <c r="Q320" s="145" t="s">
        <v>501</v>
      </c>
      <c r="R320" s="146" t="s">
        <v>10</v>
      </c>
      <c r="S320" s="500"/>
      <c r="T320" s="500"/>
      <c r="U320" s="164">
        <v>1042.3</v>
      </c>
      <c r="V320" s="164">
        <v>0</v>
      </c>
      <c r="W320" s="164">
        <v>1042.3</v>
      </c>
      <c r="X320" s="514"/>
      <c r="Y320" s="514"/>
      <c r="Z320" s="514"/>
      <c r="AA320" s="514"/>
      <c r="AB320" s="514"/>
      <c r="AC320" s="514"/>
      <c r="AD320" s="514"/>
      <c r="AE320" s="164"/>
      <c r="AF320" s="160"/>
      <c r="AG320" s="160">
        <f t="shared" si="9"/>
        <v>0</v>
      </c>
      <c r="AH320" s="170">
        <f t="shared" si="7"/>
        <v>0</v>
      </c>
    </row>
    <row r="321" spans="1:34" ht="42.75" customHeight="1" x14ac:dyDescent="0.2">
      <c r="A321" s="141"/>
      <c r="B321" s="515" t="s">
        <v>11</v>
      </c>
      <c r="C321" s="515"/>
      <c r="D321" s="515"/>
      <c r="E321" s="515"/>
      <c r="F321" s="515"/>
      <c r="G321" s="515"/>
      <c r="H321" s="515"/>
      <c r="I321" s="515"/>
      <c r="J321" s="515"/>
      <c r="K321" s="515"/>
      <c r="L321" s="515"/>
      <c r="M321" s="515"/>
      <c r="N321" s="143">
        <v>806</v>
      </c>
      <c r="O321" s="144">
        <v>10</v>
      </c>
      <c r="P321" s="144">
        <v>3</v>
      </c>
      <c r="Q321" s="145" t="s">
        <v>501</v>
      </c>
      <c r="R321" s="146" t="s">
        <v>12</v>
      </c>
      <c r="S321" s="500"/>
      <c r="T321" s="500"/>
      <c r="U321" s="164">
        <v>1042.3</v>
      </c>
      <c r="V321" s="164">
        <v>0</v>
      </c>
      <c r="W321" s="164">
        <v>1042.3</v>
      </c>
      <c r="X321" s="514"/>
      <c r="Y321" s="514"/>
      <c r="Z321" s="514"/>
      <c r="AA321" s="514"/>
      <c r="AB321" s="514"/>
      <c r="AC321" s="514"/>
      <c r="AD321" s="514"/>
      <c r="AE321" s="164"/>
      <c r="AF321" s="160"/>
      <c r="AG321" s="160"/>
      <c r="AH321" s="170">
        <f t="shared" si="7"/>
        <v>0</v>
      </c>
    </row>
    <row r="322" spans="1:34" ht="12" customHeight="1" x14ac:dyDescent="0.2">
      <c r="A322" s="141"/>
      <c r="B322" s="515" t="s">
        <v>502</v>
      </c>
      <c r="C322" s="515"/>
      <c r="D322" s="515"/>
      <c r="E322" s="515"/>
      <c r="F322" s="515"/>
      <c r="G322" s="515"/>
      <c r="H322" s="515"/>
      <c r="I322" s="515"/>
      <c r="J322" s="515"/>
      <c r="K322" s="515"/>
      <c r="L322" s="515"/>
      <c r="M322" s="515"/>
      <c r="N322" s="143">
        <v>806</v>
      </c>
      <c r="O322" s="144">
        <v>10</v>
      </c>
      <c r="P322" s="144">
        <v>4</v>
      </c>
      <c r="Q322" s="145">
        <v>0</v>
      </c>
      <c r="R322" s="146">
        <v>0</v>
      </c>
      <c r="S322" s="500"/>
      <c r="T322" s="500"/>
      <c r="U322" s="164">
        <v>3701.2</v>
      </c>
      <c r="V322" s="164">
        <v>0</v>
      </c>
      <c r="W322" s="164">
        <v>3701.2</v>
      </c>
      <c r="X322" s="514"/>
      <c r="Y322" s="514"/>
      <c r="Z322" s="514"/>
      <c r="AA322" s="514"/>
      <c r="AB322" s="514"/>
      <c r="AC322" s="514"/>
      <c r="AD322" s="514"/>
      <c r="AE322" s="164"/>
      <c r="AF322" s="160"/>
      <c r="AG322" s="160">
        <f t="shared" ref="AG322:AG327" si="10">+AG323</f>
        <v>779.09100000000001</v>
      </c>
      <c r="AH322" s="170">
        <f t="shared" si="7"/>
        <v>21.049686588133579</v>
      </c>
    </row>
    <row r="323" spans="1:34" ht="21.75" customHeight="1" x14ac:dyDescent="0.2">
      <c r="A323" s="141"/>
      <c r="B323" s="515" t="s">
        <v>431</v>
      </c>
      <c r="C323" s="515"/>
      <c r="D323" s="515"/>
      <c r="E323" s="515"/>
      <c r="F323" s="515"/>
      <c r="G323" s="515"/>
      <c r="H323" s="515"/>
      <c r="I323" s="515"/>
      <c r="J323" s="515"/>
      <c r="K323" s="515"/>
      <c r="L323" s="515"/>
      <c r="M323" s="515"/>
      <c r="N323" s="143">
        <v>806</v>
      </c>
      <c r="O323" s="144">
        <v>10</v>
      </c>
      <c r="P323" s="144">
        <v>4</v>
      </c>
      <c r="Q323" s="145" t="s">
        <v>432</v>
      </c>
      <c r="R323" s="146">
        <v>0</v>
      </c>
      <c r="S323" s="500"/>
      <c r="T323" s="500"/>
      <c r="U323" s="164">
        <v>3701.2</v>
      </c>
      <c r="V323" s="164">
        <v>0</v>
      </c>
      <c r="W323" s="164">
        <v>3701.2</v>
      </c>
      <c r="X323" s="514"/>
      <c r="Y323" s="514"/>
      <c r="Z323" s="514"/>
      <c r="AA323" s="514"/>
      <c r="AB323" s="514"/>
      <c r="AC323" s="514"/>
      <c r="AD323" s="514"/>
      <c r="AE323" s="164"/>
      <c r="AF323" s="160"/>
      <c r="AG323" s="160">
        <f t="shared" si="10"/>
        <v>779.09100000000001</v>
      </c>
      <c r="AH323" s="170">
        <f t="shared" si="7"/>
        <v>21.049686588133579</v>
      </c>
    </row>
    <row r="324" spans="1:34" ht="12" customHeight="1" x14ac:dyDescent="0.2">
      <c r="A324" s="141"/>
      <c r="B324" s="515" t="s">
        <v>433</v>
      </c>
      <c r="C324" s="515"/>
      <c r="D324" s="515"/>
      <c r="E324" s="515"/>
      <c r="F324" s="515"/>
      <c r="G324" s="515"/>
      <c r="H324" s="515"/>
      <c r="I324" s="515"/>
      <c r="J324" s="515"/>
      <c r="K324" s="515"/>
      <c r="L324" s="515"/>
      <c r="M324" s="515"/>
      <c r="N324" s="143">
        <v>806</v>
      </c>
      <c r="O324" s="144">
        <v>10</v>
      </c>
      <c r="P324" s="144">
        <v>4</v>
      </c>
      <c r="Q324" s="145" t="s">
        <v>434</v>
      </c>
      <c r="R324" s="146">
        <v>0</v>
      </c>
      <c r="S324" s="500"/>
      <c r="T324" s="500"/>
      <c r="U324" s="164">
        <v>3701.2</v>
      </c>
      <c r="V324" s="164">
        <v>0</v>
      </c>
      <c r="W324" s="164">
        <v>3701.2</v>
      </c>
      <c r="X324" s="514"/>
      <c r="Y324" s="514"/>
      <c r="Z324" s="514"/>
      <c r="AA324" s="514"/>
      <c r="AB324" s="514"/>
      <c r="AC324" s="514"/>
      <c r="AD324" s="514"/>
      <c r="AE324" s="164"/>
      <c r="AF324" s="160"/>
      <c r="AG324" s="160">
        <f t="shared" si="10"/>
        <v>779.09100000000001</v>
      </c>
      <c r="AH324" s="170">
        <f t="shared" si="7"/>
        <v>21.049686588133579</v>
      </c>
    </row>
    <row r="325" spans="1:34" ht="53.25" customHeight="1" x14ac:dyDescent="0.2">
      <c r="A325" s="141"/>
      <c r="B325" s="515" t="s">
        <v>76</v>
      </c>
      <c r="C325" s="515"/>
      <c r="D325" s="515"/>
      <c r="E325" s="515"/>
      <c r="F325" s="515"/>
      <c r="G325" s="515"/>
      <c r="H325" s="515"/>
      <c r="I325" s="515"/>
      <c r="J325" s="515"/>
      <c r="K325" s="515"/>
      <c r="L325" s="515"/>
      <c r="M325" s="515"/>
      <c r="N325" s="143">
        <v>806</v>
      </c>
      <c r="O325" s="144">
        <v>10</v>
      </c>
      <c r="P325" s="144">
        <v>4</v>
      </c>
      <c r="Q325" s="145" t="s">
        <v>503</v>
      </c>
      <c r="R325" s="146">
        <v>0</v>
      </c>
      <c r="S325" s="500"/>
      <c r="T325" s="500"/>
      <c r="U325" s="164">
        <v>3701.2</v>
      </c>
      <c r="V325" s="164">
        <v>0</v>
      </c>
      <c r="W325" s="164">
        <v>3701.2</v>
      </c>
      <c r="X325" s="514"/>
      <c r="Y325" s="514"/>
      <c r="Z325" s="514"/>
      <c r="AA325" s="514"/>
      <c r="AB325" s="514"/>
      <c r="AC325" s="514"/>
      <c r="AD325" s="514"/>
      <c r="AE325" s="164"/>
      <c r="AF325" s="160"/>
      <c r="AG325" s="160">
        <f t="shared" si="10"/>
        <v>779.09100000000001</v>
      </c>
      <c r="AH325" s="170">
        <f t="shared" si="7"/>
        <v>21.049686588133579</v>
      </c>
    </row>
    <row r="326" spans="1:34" ht="12" customHeight="1" x14ac:dyDescent="0.2">
      <c r="A326" s="141"/>
      <c r="B326" s="515" t="s">
        <v>46</v>
      </c>
      <c r="C326" s="515"/>
      <c r="D326" s="515"/>
      <c r="E326" s="515"/>
      <c r="F326" s="515"/>
      <c r="G326" s="515"/>
      <c r="H326" s="515"/>
      <c r="I326" s="515"/>
      <c r="J326" s="515"/>
      <c r="K326" s="515"/>
      <c r="L326" s="515"/>
      <c r="M326" s="515"/>
      <c r="N326" s="143">
        <v>806</v>
      </c>
      <c r="O326" s="144">
        <v>10</v>
      </c>
      <c r="P326" s="144">
        <v>4</v>
      </c>
      <c r="Q326" s="145" t="s">
        <v>503</v>
      </c>
      <c r="R326" s="146" t="s">
        <v>43</v>
      </c>
      <c r="S326" s="500"/>
      <c r="T326" s="500"/>
      <c r="U326" s="164">
        <v>3701.2</v>
      </c>
      <c r="V326" s="164">
        <v>0</v>
      </c>
      <c r="W326" s="164">
        <v>3701.2</v>
      </c>
      <c r="X326" s="514"/>
      <c r="Y326" s="514"/>
      <c r="Z326" s="514"/>
      <c r="AA326" s="514"/>
      <c r="AB326" s="514"/>
      <c r="AC326" s="514"/>
      <c r="AD326" s="514"/>
      <c r="AE326" s="164"/>
      <c r="AF326" s="160"/>
      <c r="AG326" s="160">
        <f t="shared" si="10"/>
        <v>779.09100000000001</v>
      </c>
      <c r="AH326" s="170">
        <f t="shared" si="7"/>
        <v>21.049686588133579</v>
      </c>
    </row>
    <row r="327" spans="1:34" ht="12" customHeight="1" x14ac:dyDescent="0.2">
      <c r="A327" s="141"/>
      <c r="B327" s="515" t="s">
        <v>47</v>
      </c>
      <c r="C327" s="515"/>
      <c r="D327" s="515"/>
      <c r="E327" s="515"/>
      <c r="F327" s="515"/>
      <c r="G327" s="515"/>
      <c r="H327" s="515"/>
      <c r="I327" s="515"/>
      <c r="J327" s="515"/>
      <c r="K327" s="515"/>
      <c r="L327" s="515"/>
      <c r="M327" s="515"/>
      <c r="N327" s="143">
        <v>806</v>
      </c>
      <c r="O327" s="144">
        <v>10</v>
      </c>
      <c r="P327" s="144">
        <v>4</v>
      </c>
      <c r="Q327" s="145" t="s">
        <v>503</v>
      </c>
      <c r="R327" s="146" t="s">
        <v>44</v>
      </c>
      <c r="S327" s="500"/>
      <c r="T327" s="500"/>
      <c r="U327" s="164">
        <v>3701.2</v>
      </c>
      <c r="V327" s="164">
        <v>0</v>
      </c>
      <c r="W327" s="164">
        <v>3701.2</v>
      </c>
      <c r="X327" s="514"/>
      <c r="Y327" s="514"/>
      <c r="Z327" s="514"/>
      <c r="AA327" s="514"/>
      <c r="AB327" s="514"/>
      <c r="AC327" s="514"/>
      <c r="AD327" s="514"/>
      <c r="AE327" s="164"/>
      <c r="AF327" s="160"/>
      <c r="AG327" s="160">
        <f t="shared" si="10"/>
        <v>779.09100000000001</v>
      </c>
      <c r="AH327" s="170">
        <f t="shared" si="7"/>
        <v>21.049686588133579</v>
      </c>
    </row>
    <row r="328" spans="1:34" ht="21.75" customHeight="1" x14ac:dyDescent="0.2">
      <c r="A328" s="141"/>
      <c r="B328" s="515" t="s">
        <v>476</v>
      </c>
      <c r="C328" s="515"/>
      <c r="D328" s="515"/>
      <c r="E328" s="515"/>
      <c r="F328" s="515"/>
      <c r="G328" s="515"/>
      <c r="H328" s="515"/>
      <c r="I328" s="515"/>
      <c r="J328" s="515"/>
      <c r="K328" s="515"/>
      <c r="L328" s="515"/>
      <c r="M328" s="515"/>
      <c r="N328" s="143">
        <v>806</v>
      </c>
      <c r="O328" s="144">
        <v>10</v>
      </c>
      <c r="P328" s="144">
        <v>4</v>
      </c>
      <c r="Q328" s="145" t="s">
        <v>503</v>
      </c>
      <c r="R328" s="146" t="s">
        <v>48</v>
      </c>
      <c r="S328" s="500"/>
      <c r="T328" s="500"/>
      <c r="U328" s="164">
        <v>3701.2</v>
      </c>
      <c r="V328" s="164">
        <v>0</v>
      </c>
      <c r="W328" s="164">
        <v>3701.2</v>
      </c>
      <c r="X328" s="514"/>
      <c r="Y328" s="514"/>
      <c r="Z328" s="514"/>
      <c r="AA328" s="514"/>
      <c r="AB328" s="514"/>
      <c r="AC328" s="514"/>
      <c r="AD328" s="514"/>
      <c r="AE328" s="164"/>
      <c r="AF328" s="160"/>
      <c r="AG328" s="160">
        <v>779.09100000000001</v>
      </c>
      <c r="AH328" s="170">
        <f t="shared" si="7"/>
        <v>21.049686588133579</v>
      </c>
    </row>
    <row r="329" spans="1:34" ht="21.75" customHeight="1" x14ac:dyDescent="0.2">
      <c r="A329" s="141"/>
      <c r="B329" s="515" t="s">
        <v>529</v>
      </c>
      <c r="C329" s="515"/>
      <c r="D329" s="515"/>
      <c r="E329" s="515"/>
      <c r="F329" s="515"/>
      <c r="G329" s="515"/>
      <c r="H329" s="515"/>
      <c r="I329" s="515"/>
      <c r="J329" s="515"/>
      <c r="K329" s="515"/>
      <c r="L329" s="515"/>
      <c r="M329" s="515"/>
      <c r="N329" s="143">
        <v>808</v>
      </c>
      <c r="O329" s="144">
        <v>0</v>
      </c>
      <c r="P329" s="144">
        <v>0</v>
      </c>
      <c r="Q329" s="145">
        <v>0</v>
      </c>
      <c r="R329" s="146">
        <v>0</v>
      </c>
      <c r="S329" s="500"/>
      <c r="T329" s="500"/>
      <c r="U329" s="164">
        <v>5305.0720000000001</v>
      </c>
      <c r="V329" s="164">
        <v>0</v>
      </c>
      <c r="W329" s="164">
        <v>5305.0720000000001</v>
      </c>
      <c r="X329" s="514"/>
      <c r="Y329" s="514"/>
      <c r="Z329" s="514"/>
      <c r="AA329" s="514"/>
      <c r="AB329" s="514"/>
      <c r="AC329" s="514"/>
      <c r="AD329" s="514"/>
      <c r="AE329" s="164"/>
      <c r="AF329" s="160"/>
      <c r="AG329" s="160">
        <f>+AG330</f>
        <v>1341.9275400000001</v>
      </c>
      <c r="AH329" s="170">
        <f t="shared" si="7"/>
        <v>25.295180536663786</v>
      </c>
    </row>
    <row r="330" spans="1:34" ht="12" customHeight="1" x14ac:dyDescent="0.2">
      <c r="A330" s="141"/>
      <c r="B330" s="515" t="s">
        <v>328</v>
      </c>
      <c r="C330" s="515"/>
      <c r="D330" s="515"/>
      <c r="E330" s="515"/>
      <c r="F330" s="515"/>
      <c r="G330" s="515"/>
      <c r="H330" s="515"/>
      <c r="I330" s="515"/>
      <c r="J330" s="515"/>
      <c r="K330" s="515"/>
      <c r="L330" s="515"/>
      <c r="M330" s="515"/>
      <c r="N330" s="143">
        <v>808</v>
      </c>
      <c r="O330" s="144">
        <v>1</v>
      </c>
      <c r="P330" s="144">
        <v>0</v>
      </c>
      <c r="Q330" s="145">
        <v>0</v>
      </c>
      <c r="R330" s="146">
        <v>0</v>
      </c>
      <c r="S330" s="500"/>
      <c r="T330" s="500"/>
      <c r="U330" s="164">
        <v>5305.0720000000001</v>
      </c>
      <c r="V330" s="164">
        <v>0</v>
      </c>
      <c r="W330" s="164">
        <v>5305.0720000000001</v>
      </c>
      <c r="X330" s="514"/>
      <c r="Y330" s="514"/>
      <c r="Z330" s="514"/>
      <c r="AA330" s="514"/>
      <c r="AB330" s="514"/>
      <c r="AC330" s="514"/>
      <c r="AD330" s="514"/>
      <c r="AE330" s="164"/>
      <c r="AF330" s="160"/>
      <c r="AG330" s="160">
        <f>+AG331+AG358+AG375</f>
        <v>1341.9275400000001</v>
      </c>
      <c r="AH330" s="170">
        <f t="shared" si="7"/>
        <v>25.295180536663786</v>
      </c>
    </row>
    <row r="331" spans="1:34" ht="32.25" customHeight="1" x14ac:dyDescent="0.2">
      <c r="A331" s="141"/>
      <c r="B331" s="515" t="s">
        <v>77</v>
      </c>
      <c r="C331" s="515"/>
      <c r="D331" s="515"/>
      <c r="E331" s="515"/>
      <c r="F331" s="515"/>
      <c r="G331" s="515"/>
      <c r="H331" s="515"/>
      <c r="I331" s="515"/>
      <c r="J331" s="515"/>
      <c r="K331" s="515"/>
      <c r="L331" s="515"/>
      <c r="M331" s="515"/>
      <c r="N331" s="143">
        <v>808</v>
      </c>
      <c r="O331" s="144">
        <v>1</v>
      </c>
      <c r="P331" s="144">
        <v>3</v>
      </c>
      <c r="Q331" s="145">
        <v>0</v>
      </c>
      <c r="R331" s="146">
        <v>0</v>
      </c>
      <c r="S331" s="500"/>
      <c r="T331" s="500"/>
      <c r="U331" s="164">
        <v>3598.0819999999999</v>
      </c>
      <c r="V331" s="164">
        <v>0</v>
      </c>
      <c r="W331" s="164">
        <v>3598.0819999999999</v>
      </c>
      <c r="X331" s="514"/>
      <c r="Y331" s="514"/>
      <c r="Z331" s="514"/>
      <c r="AA331" s="514"/>
      <c r="AB331" s="514"/>
      <c r="AC331" s="514"/>
      <c r="AD331" s="514"/>
      <c r="AE331" s="164"/>
      <c r="AF331" s="160"/>
      <c r="AG331" s="160">
        <f>+AG332</f>
        <v>952.23971000000006</v>
      </c>
      <c r="AH331" s="170">
        <f t="shared" si="7"/>
        <v>26.465203127666353</v>
      </c>
    </row>
    <row r="332" spans="1:34" ht="21.75" customHeight="1" x14ac:dyDescent="0.2">
      <c r="A332" s="141"/>
      <c r="B332" s="515" t="s">
        <v>335</v>
      </c>
      <c r="C332" s="515"/>
      <c r="D332" s="515"/>
      <c r="E332" s="515"/>
      <c r="F332" s="515"/>
      <c r="G332" s="515"/>
      <c r="H332" s="515"/>
      <c r="I332" s="515"/>
      <c r="J332" s="515"/>
      <c r="K332" s="515"/>
      <c r="L332" s="515"/>
      <c r="M332" s="515"/>
      <c r="N332" s="143">
        <v>808</v>
      </c>
      <c r="O332" s="144">
        <v>1</v>
      </c>
      <c r="P332" s="144">
        <v>3</v>
      </c>
      <c r="Q332" s="145" t="s">
        <v>336</v>
      </c>
      <c r="R332" s="146">
        <v>0</v>
      </c>
      <c r="S332" s="500"/>
      <c r="T332" s="500"/>
      <c r="U332" s="164">
        <v>3598.0819999999999</v>
      </c>
      <c r="V332" s="164">
        <v>0</v>
      </c>
      <c r="W332" s="164">
        <v>3598.0819999999999</v>
      </c>
      <c r="X332" s="514"/>
      <c r="Y332" s="514"/>
      <c r="Z332" s="514"/>
      <c r="AA332" s="514"/>
      <c r="AB332" s="514"/>
      <c r="AC332" s="514"/>
      <c r="AD332" s="514"/>
      <c r="AE332" s="164"/>
      <c r="AF332" s="160"/>
      <c r="AG332" s="160">
        <f>+AG333+AG338+AG343+AG348</f>
        <v>952.23971000000006</v>
      </c>
      <c r="AH332" s="170">
        <f t="shared" si="7"/>
        <v>26.465203127666353</v>
      </c>
    </row>
    <row r="333" spans="1:34" ht="21.75" customHeight="1" x14ac:dyDescent="0.2">
      <c r="A333" s="141"/>
      <c r="B333" s="515" t="s">
        <v>337</v>
      </c>
      <c r="C333" s="515"/>
      <c r="D333" s="515"/>
      <c r="E333" s="515"/>
      <c r="F333" s="515"/>
      <c r="G333" s="515"/>
      <c r="H333" s="515"/>
      <c r="I333" s="515"/>
      <c r="J333" s="515"/>
      <c r="K333" s="515"/>
      <c r="L333" s="515"/>
      <c r="M333" s="515"/>
      <c r="N333" s="143">
        <v>808</v>
      </c>
      <c r="O333" s="144">
        <v>1</v>
      </c>
      <c r="P333" s="144">
        <v>3</v>
      </c>
      <c r="Q333" s="145" t="s">
        <v>338</v>
      </c>
      <c r="R333" s="146">
        <v>0</v>
      </c>
      <c r="S333" s="500"/>
      <c r="T333" s="500"/>
      <c r="U333" s="164">
        <v>1122.6389999999999</v>
      </c>
      <c r="V333" s="164">
        <v>0</v>
      </c>
      <c r="W333" s="164">
        <v>1122.6389999999999</v>
      </c>
      <c r="X333" s="514"/>
      <c r="Y333" s="514"/>
      <c r="Z333" s="514"/>
      <c r="AA333" s="514"/>
      <c r="AB333" s="514"/>
      <c r="AC333" s="514"/>
      <c r="AD333" s="514"/>
      <c r="AE333" s="164"/>
      <c r="AF333" s="160"/>
      <c r="AG333" s="160">
        <f>+AG334</f>
        <v>269.43986000000001</v>
      </c>
      <c r="AH333" s="170">
        <f t="shared" si="7"/>
        <v>24.000578992890862</v>
      </c>
    </row>
    <row r="334" spans="1:34" ht="53.25" customHeight="1" x14ac:dyDescent="0.2">
      <c r="A334" s="141"/>
      <c r="B334" s="515" t="s">
        <v>17</v>
      </c>
      <c r="C334" s="515"/>
      <c r="D334" s="515"/>
      <c r="E334" s="515"/>
      <c r="F334" s="515"/>
      <c r="G334" s="515"/>
      <c r="H334" s="515"/>
      <c r="I334" s="515"/>
      <c r="J334" s="515"/>
      <c r="K334" s="515"/>
      <c r="L334" s="515"/>
      <c r="M334" s="515"/>
      <c r="N334" s="143">
        <v>808</v>
      </c>
      <c r="O334" s="144">
        <v>1</v>
      </c>
      <c r="P334" s="144">
        <v>3</v>
      </c>
      <c r="Q334" s="145" t="s">
        <v>338</v>
      </c>
      <c r="R334" s="146" t="s">
        <v>18</v>
      </c>
      <c r="S334" s="500"/>
      <c r="T334" s="500"/>
      <c r="U334" s="164">
        <v>1122.6389999999999</v>
      </c>
      <c r="V334" s="164">
        <v>0</v>
      </c>
      <c r="W334" s="164">
        <v>1122.6389999999999</v>
      </c>
      <c r="X334" s="514"/>
      <c r="Y334" s="514"/>
      <c r="Z334" s="514"/>
      <c r="AA334" s="514"/>
      <c r="AB334" s="514"/>
      <c r="AC334" s="514"/>
      <c r="AD334" s="514"/>
      <c r="AE334" s="164"/>
      <c r="AF334" s="160"/>
      <c r="AG334" s="160">
        <f>+AG335</f>
        <v>269.43986000000001</v>
      </c>
      <c r="AH334" s="170">
        <f t="shared" si="7"/>
        <v>24.000578992890862</v>
      </c>
    </row>
    <row r="335" spans="1:34" ht="21.75" customHeight="1" x14ac:dyDescent="0.2">
      <c r="A335" s="141"/>
      <c r="B335" s="515" t="s">
        <v>37</v>
      </c>
      <c r="C335" s="515"/>
      <c r="D335" s="515"/>
      <c r="E335" s="515"/>
      <c r="F335" s="515"/>
      <c r="G335" s="515"/>
      <c r="H335" s="515"/>
      <c r="I335" s="515"/>
      <c r="J335" s="515"/>
      <c r="K335" s="515"/>
      <c r="L335" s="515"/>
      <c r="M335" s="515"/>
      <c r="N335" s="143">
        <v>808</v>
      </c>
      <c r="O335" s="144">
        <v>1</v>
      </c>
      <c r="P335" s="144">
        <v>3</v>
      </c>
      <c r="Q335" s="145" t="s">
        <v>338</v>
      </c>
      <c r="R335" s="146" t="s">
        <v>38</v>
      </c>
      <c r="S335" s="500"/>
      <c r="T335" s="500"/>
      <c r="U335" s="164">
        <v>1122.6389999999999</v>
      </c>
      <c r="V335" s="164">
        <v>0</v>
      </c>
      <c r="W335" s="164">
        <v>1122.6389999999999</v>
      </c>
      <c r="X335" s="514"/>
      <c r="Y335" s="514"/>
      <c r="Z335" s="514"/>
      <c r="AA335" s="514"/>
      <c r="AB335" s="514"/>
      <c r="AC335" s="514"/>
      <c r="AD335" s="514"/>
      <c r="AE335" s="164"/>
      <c r="AF335" s="160"/>
      <c r="AG335" s="160">
        <f>+AG336+AG337</f>
        <v>269.43986000000001</v>
      </c>
      <c r="AH335" s="170">
        <f t="shared" si="7"/>
        <v>24.000578992890862</v>
      </c>
    </row>
    <row r="336" spans="1:34" ht="21.75" customHeight="1" x14ac:dyDescent="0.2">
      <c r="A336" s="141"/>
      <c r="B336" s="515" t="s">
        <v>333</v>
      </c>
      <c r="C336" s="515"/>
      <c r="D336" s="515"/>
      <c r="E336" s="515"/>
      <c r="F336" s="515"/>
      <c r="G336" s="515"/>
      <c r="H336" s="515"/>
      <c r="I336" s="515"/>
      <c r="J336" s="515"/>
      <c r="K336" s="515"/>
      <c r="L336" s="515"/>
      <c r="M336" s="515"/>
      <c r="N336" s="143">
        <v>808</v>
      </c>
      <c r="O336" s="144">
        <v>1</v>
      </c>
      <c r="P336" s="144">
        <v>3</v>
      </c>
      <c r="Q336" s="145" t="s">
        <v>338</v>
      </c>
      <c r="R336" s="146" t="s">
        <v>39</v>
      </c>
      <c r="S336" s="500"/>
      <c r="T336" s="500"/>
      <c r="U336" s="164">
        <v>862.24199999999996</v>
      </c>
      <c r="V336" s="164">
        <v>0</v>
      </c>
      <c r="W336" s="164">
        <v>862.24199999999996</v>
      </c>
      <c r="X336" s="514"/>
      <c r="Y336" s="514"/>
      <c r="Z336" s="514"/>
      <c r="AA336" s="514"/>
      <c r="AB336" s="514"/>
      <c r="AC336" s="514"/>
      <c r="AD336" s="514"/>
      <c r="AE336" s="164"/>
      <c r="AF336" s="160"/>
      <c r="AG336" s="160">
        <v>206.94306</v>
      </c>
      <c r="AH336" s="170">
        <f t="shared" si="7"/>
        <v>24.000577564071339</v>
      </c>
    </row>
    <row r="337" spans="1:34" ht="32.25" customHeight="1" x14ac:dyDescent="0.2">
      <c r="A337" s="141"/>
      <c r="B337" s="515" t="s">
        <v>334</v>
      </c>
      <c r="C337" s="515"/>
      <c r="D337" s="515"/>
      <c r="E337" s="515"/>
      <c r="F337" s="515"/>
      <c r="G337" s="515"/>
      <c r="H337" s="515"/>
      <c r="I337" s="515"/>
      <c r="J337" s="515"/>
      <c r="K337" s="515"/>
      <c r="L337" s="515"/>
      <c r="M337" s="515"/>
      <c r="N337" s="143">
        <v>808</v>
      </c>
      <c r="O337" s="144">
        <v>1</v>
      </c>
      <c r="P337" s="144">
        <v>3</v>
      </c>
      <c r="Q337" s="145" t="s">
        <v>338</v>
      </c>
      <c r="R337" s="146" t="s">
        <v>41</v>
      </c>
      <c r="S337" s="500"/>
      <c r="T337" s="500"/>
      <c r="U337" s="164">
        <v>260.39699999999999</v>
      </c>
      <c r="V337" s="164">
        <v>0</v>
      </c>
      <c r="W337" s="164">
        <v>260.39699999999999</v>
      </c>
      <c r="X337" s="514"/>
      <c r="Y337" s="514"/>
      <c r="Z337" s="514"/>
      <c r="AA337" s="514"/>
      <c r="AB337" s="514"/>
      <c r="AC337" s="514"/>
      <c r="AD337" s="514"/>
      <c r="AE337" s="164"/>
      <c r="AF337" s="160"/>
      <c r="AG337" s="160">
        <v>62.4968</v>
      </c>
      <c r="AH337" s="170">
        <f t="shared" si="7"/>
        <v>24.000583724082844</v>
      </c>
    </row>
    <row r="338" spans="1:34" ht="21.75" customHeight="1" x14ac:dyDescent="0.2">
      <c r="A338" s="141"/>
      <c r="B338" s="515" t="s">
        <v>339</v>
      </c>
      <c r="C338" s="515"/>
      <c r="D338" s="515"/>
      <c r="E338" s="515"/>
      <c r="F338" s="515"/>
      <c r="G338" s="515"/>
      <c r="H338" s="515"/>
      <c r="I338" s="515"/>
      <c r="J338" s="515"/>
      <c r="K338" s="515"/>
      <c r="L338" s="515"/>
      <c r="M338" s="515"/>
      <c r="N338" s="143">
        <v>808</v>
      </c>
      <c r="O338" s="144">
        <v>1</v>
      </c>
      <c r="P338" s="144">
        <v>3</v>
      </c>
      <c r="Q338" s="145" t="s">
        <v>340</v>
      </c>
      <c r="R338" s="146">
        <v>0</v>
      </c>
      <c r="S338" s="500"/>
      <c r="T338" s="500"/>
      <c r="U338" s="164">
        <v>968.26499999999999</v>
      </c>
      <c r="V338" s="164">
        <v>0</v>
      </c>
      <c r="W338" s="164">
        <v>968.26499999999999</v>
      </c>
      <c r="X338" s="514"/>
      <c r="Y338" s="514"/>
      <c r="Z338" s="514"/>
      <c r="AA338" s="514"/>
      <c r="AB338" s="514"/>
      <c r="AC338" s="514"/>
      <c r="AD338" s="514"/>
      <c r="AE338" s="164"/>
      <c r="AF338" s="160"/>
      <c r="AG338" s="160">
        <f>+AG339</f>
        <v>264.61736000000002</v>
      </c>
      <c r="AH338" s="170">
        <f t="shared" si="7"/>
        <v>27.32902252998921</v>
      </c>
    </row>
    <row r="339" spans="1:34" ht="53.25" customHeight="1" x14ac:dyDescent="0.2">
      <c r="A339" s="141"/>
      <c r="B339" s="515" t="s">
        <v>17</v>
      </c>
      <c r="C339" s="515"/>
      <c r="D339" s="515"/>
      <c r="E339" s="515"/>
      <c r="F339" s="515"/>
      <c r="G339" s="515"/>
      <c r="H339" s="515"/>
      <c r="I339" s="515"/>
      <c r="J339" s="515"/>
      <c r="K339" s="515"/>
      <c r="L339" s="515"/>
      <c r="M339" s="515"/>
      <c r="N339" s="143">
        <v>808</v>
      </c>
      <c r="O339" s="144">
        <v>1</v>
      </c>
      <c r="P339" s="144">
        <v>3</v>
      </c>
      <c r="Q339" s="145" t="s">
        <v>340</v>
      </c>
      <c r="R339" s="146" t="s">
        <v>18</v>
      </c>
      <c r="S339" s="500"/>
      <c r="T339" s="500"/>
      <c r="U339" s="164">
        <v>968.26499999999999</v>
      </c>
      <c r="V339" s="164">
        <v>0</v>
      </c>
      <c r="W339" s="164">
        <v>968.26499999999999</v>
      </c>
      <c r="X339" s="514"/>
      <c r="Y339" s="514"/>
      <c r="Z339" s="514"/>
      <c r="AA339" s="514"/>
      <c r="AB339" s="514"/>
      <c r="AC339" s="514"/>
      <c r="AD339" s="514"/>
      <c r="AE339" s="164"/>
      <c r="AF339" s="160"/>
      <c r="AG339" s="160">
        <f>+AG340</f>
        <v>264.61736000000002</v>
      </c>
      <c r="AH339" s="170">
        <f t="shared" si="7"/>
        <v>27.32902252998921</v>
      </c>
    </row>
    <row r="340" spans="1:34" ht="21.75" customHeight="1" x14ac:dyDescent="0.2">
      <c r="A340" s="141"/>
      <c r="B340" s="515" t="s">
        <v>37</v>
      </c>
      <c r="C340" s="515"/>
      <c r="D340" s="515"/>
      <c r="E340" s="515"/>
      <c r="F340" s="515"/>
      <c r="G340" s="515"/>
      <c r="H340" s="515"/>
      <c r="I340" s="515"/>
      <c r="J340" s="515"/>
      <c r="K340" s="515"/>
      <c r="L340" s="515"/>
      <c r="M340" s="515"/>
      <c r="N340" s="143">
        <v>808</v>
      </c>
      <c r="O340" s="144">
        <v>1</v>
      </c>
      <c r="P340" s="144">
        <v>3</v>
      </c>
      <c r="Q340" s="145" t="s">
        <v>340</v>
      </c>
      <c r="R340" s="146" t="s">
        <v>38</v>
      </c>
      <c r="S340" s="500"/>
      <c r="T340" s="500"/>
      <c r="U340" s="164">
        <v>968.26499999999999</v>
      </c>
      <c r="V340" s="164">
        <v>0</v>
      </c>
      <c r="W340" s="164">
        <v>968.26499999999999</v>
      </c>
      <c r="X340" s="514"/>
      <c r="Y340" s="514"/>
      <c r="Z340" s="514"/>
      <c r="AA340" s="514"/>
      <c r="AB340" s="514"/>
      <c r="AC340" s="514"/>
      <c r="AD340" s="514"/>
      <c r="AE340" s="164"/>
      <c r="AF340" s="160"/>
      <c r="AG340" s="160">
        <f>+AG341+AG342</f>
        <v>264.61736000000002</v>
      </c>
      <c r="AH340" s="170">
        <f t="shared" si="7"/>
        <v>27.32902252998921</v>
      </c>
    </row>
    <row r="341" spans="1:34" ht="21.75" customHeight="1" x14ac:dyDescent="0.2">
      <c r="A341" s="141"/>
      <c r="B341" s="515" t="s">
        <v>333</v>
      </c>
      <c r="C341" s="515"/>
      <c r="D341" s="515"/>
      <c r="E341" s="515"/>
      <c r="F341" s="515"/>
      <c r="G341" s="515"/>
      <c r="H341" s="515"/>
      <c r="I341" s="515"/>
      <c r="J341" s="515"/>
      <c r="K341" s="515"/>
      <c r="L341" s="515"/>
      <c r="M341" s="515"/>
      <c r="N341" s="143">
        <v>808</v>
      </c>
      <c r="O341" s="144">
        <v>1</v>
      </c>
      <c r="P341" s="144">
        <v>3</v>
      </c>
      <c r="Q341" s="145" t="s">
        <v>340</v>
      </c>
      <c r="R341" s="146" t="s">
        <v>39</v>
      </c>
      <c r="S341" s="500"/>
      <c r="T341" s="500"/>
      <c r="U341" s="164">
        <v>743.67499999999995</v>
      </c>
      <c r="V341" s="164">
        <v>0</v>
      </c>
      <c r="W341" s="164">
        <v>743.67499999999995</v>
      </c>
      <c r="X341" s="514"/>
      <c r="Y341" s="514"/>
      <c r="Z341" s="514"/>
      <c r="AA341" s="514"/>
      <c r="AB341" s="514"/>
      <c r="AC341" s="514"/>
      <c r="AD341" s="514"/>
      <c r="AE341" s="164"/>
      <c r="AF341" s="160"/>
      <c r="AG341" s="160">
        <v>204.16079999999999</v>
      </c>
      <c r="AH341" s="170">
        <f t="shared" si="7"/>
        <v>27.452959962349144</v>
      </c>
    </row>
    <row r="342" spans="1:34" ht="32.25" customHeight="1" x14ac:dyDescent="0.2">
      <c r="A342" s="141"/>
      <c r="B342" s="515" t="s">
        <v>334</v>
      </c>
      <c r="C342" s="515"/>
      <c r="D342" s="515"/>
      <c r="E342" s="515"/>
      <c r="F342" s="515"/>
      <c r="G342" s="515"/>
      <c r="H342" s="515"/>
      <c r="I342" s="515"/>
      <c r="J342" s="515"/>
      <c r="K342" s="515"/>
      <c r="L342" s="515"/>
      <c r="M342" s="515"/>
      <c r="N342" s="143">
        <v>808</v>
      </c>
      <c r="O342" s="144">
        <v>1</v>
      </c>
      <c r="P342" s="144">
        <v>3</v>
      </c>
      <c r="Q342" s="145" t="s">
        <v>340</v>
      </c>
      <c r="R342" s="146" t="s">
        <v>41</v>
      </c>
      <c r="S342" s="500"/>
      <c r="T342" s="500"/>
      <c r="U342" s="164">
        <v>224.59</v>
      </c>
      <c r="V342" s="164">
        <v>0</v>
      </c>
      <c r="W342" s="164">
        <v>224.59</v>
      </c>
      <c r="X342" s="514"/>
      <c r="Y342" s="514"/>
      <c r="Z342" s="514"/>
      <c r="AA342" s="514"/>
      <c r="AB342" s="514"/>
      <c r="AC342" s="514"/>
      <c r="AD342" s="514"/>
      <c r="AE342" s="164"/>
      <c r="AF342" s="160"/>
      <c r="AG342" s="160">
        <v>60.456560000000003</v>
      </c>
      <c r="AH342" s="170">
        <f t="shared" si="7"/>
        <v>26.918633955207266</v>
      </c>
    </row>
    <row r="343" spans="1:34" ht="42.75" customHeight="1" x14ac:dyDescent="0.2">
      <c r="A343" s="141"/>
      <c r="B343" s="515" t="s">
        <v>341</v>
      </c>
      <c r="C343" s="515"/>
      <c r="D343" s="515"/>
      <c r="E343" s="515"/>
      <c r="F343" s="515"/>
      <c r="G343" s="515"/>
      <c r="H343" s="515"/>
      <c r="I343" s="515"/>
      <c r="J343" s="515"/>
      <c r="K343" s="515"/>
      <c r="L343" s="515"/>
      <c r="M343" s="515"/>
      <c r="N343" s="143">
        <v>808</v>
      </c>
      <c r="O343" s="144">
        <v>1</v>
      </c>
      <c r="P343" s="144">
        <v>3</v>
      </c>
      <c r="Q343" s="145" t="s">
        <v>342</v>
      </c>
      <c r="R343" s="146">
        <v>0</v>
      </c>
      <c r="S343" s="500"/>
      <c r="T343" s="500"/>
      <c r="U343" s="164">
        <v>779.33799999999997</v>
      </c>
      <c r="V343" s="164">
        <v>0</v>
      </c>
      <c r="W343" s="164">
        <v>779.33799999999997</v>
      </c>
      <c r="X343" s="514"/>
      <c r="Y343" s="514"/>
      <c r="Z343" s="514"/>
      <c r="AA343" s="514"/>
      <c r="AB343" s="514"/>
      <c r="AC343" s="514"/>
      <c r="AD343" s="514"/>
      <c r="AE343" s="164"/>
      <c r="AF343" s="160"/>
      <c r="AG343" s="160">
        <f>+AG344</f>
        <v>189.79874999999998</v>
      </c>
      <c r="AH343" s="170">
        <f t="shared" ref="AH343:AH406" si="11">AG343/U343*100</f>
        <v>24.353842620275156</v>
      </c>
    </row>
    <row r="344" spans="1:34" ht="53.25" customHeight="1" x14ac:dyDescent="0.2">
      <c r="A344" s="141"/>
      <c r="B344" s="515" t="s">
        <v>17</v>
      </c>
      <c r="C344" s="515"/>
      <c r="D344" s="515"/>
      <c r="E344" s="515"/>
      <c r="F344" s="515"/>
      <c r="G344" s="515"/>
      <c r="H344" s="515"/>
      <c r="I344" s="515"/>
      <c r="J344" s="515"/>
      <c r="K344" s="515"/>
      <c r="L344" s="515"/>
      <c r="M344" s="515"/>
      <c r="N344" s="143">
        <v>808</v>
      </c>
      <c r="O344" s="144">
        <v>1</v>
      </c>
      <c r="P344" s="144">
        <v>3</v>
      </c>
      <c r="Q344" s="145" t="s">
        <v>342</v>
      </c>
      <c r="R344" s="146" t="s">
        <v>18</v>
      </c>
      <c r="S344" s="500"/>
      <c r="T344" s="500"/>
      <c r="U344" s="164">
        <v>779.33799999999997</v>
      </c>
      <c r="V344" s="164">
        <v>0</v>
      </c>
      <c r="W344" s="164">
        <v>779.33799999999997</v>
      </c>
      <c r="X344" s="514"/>
      <c r="Y344" s="514"/>
      <c r="Z344" s="514"/>
      <c r="AA344" s="514"/>
      <c r="AB344" s="514"/>
      <c r="AC344" s="514"/>
      <c r="AD344" s="514"/>
      <c r="AE344" s="164"/>
      <c r="AF344" s="160"/>
      <c r="AG344" s="160">
        <f>+AG345</f>
        <v>189.79874999999998</v>
      </c>
      <c r="AH344" s="170">
        <f t="shared" si="11"/>
        <v>24.353842620275156</v>
      </c>
    </row>
    <row r="345" spans="1:34" ht="21.75" customHeight="1" x14ac:dyDescent="0.2">
      <c r="A345" s="141"/>
      <c r="B345" s="515" t="s">
        <v>37</v>
      </c>
      <c r="C345" s="515"/>
      <c r="D345" s="515"/>
      <c r="E345" s="515"/>
      <c r="F345" s="515"/>
      <c r="G345" s="515"/>
      <c r="H345" s="515"/>
      <c r="I345" s="515"/>
      <c r="J345" s="515"/>
      <c r="K345" s="515"/>
      <c r="L345" s="515"/>
      <c r="M345" s="515"/>
      <c r="N345" s="143">
        <v>808</v>
      </c>
      <c r="O345" s="144">
        <v>1</v>
      </c>
      <c r="P345" s="144">
        <v>3</v>
      </c>
      <c r="Q345" s="145" t="s">
        <v>342</v>
      </c>
      <c r="R345" s="146" t="s">
        <v>38</v>
      </c>
      <c r="S345" s="500"/>
      <c r="T345" s="500"/>
      <c r="U345" s="164">
        <v>779.33799999999997</v>
      </c>
      <c r="V345" s="164">
        <v>0</v>
      </c>
      <c r="W345" s="164">
        <v>779.33799999999997</v>
      </c>
      <c r="X345" s="514"/>
      <c r="Y345" s="514"/>
      <c r="Z345" s="514"/>
      <c r="AA345" s="514"/>
      <c r="AB345" s="514"/>
      <c r="AC345" s="514"/>
      <c r="AD345" s="514"/>
      <c r="AE345" s="164"/>
      <c r="AF345" s="160"/>
      <c r="AG345" s="160">
        <f>+AG346+AG347</f>
        <v>189.79874999999998</v>
      </c>
      <c r="AH345" s="170">
        <f t="shared" si="11"/>
        <v>24.353842620275156</v>
      </c>
    </row>
    <row r="346" spans="1:34" ht="21.75" customHeight="1" x14ac:dyDescent="0.2">
      <c r="A346" s="141"/>
      <c r="B346" s="515" t="s">
        <v>333</v>
      </c>
      <c r="C346" s="515"/>
      <c r="D346" s="515"/>
      <c r="E346" s="515"/>
      <c r="F346" s="515"/>
      <c r="G346" s="515"/>
      <c r="H346" s="515"/>
      <c r="I346" s="515"/>
      <c r="J346" s="515"/>
      <c r="K346" s="515"/>
      <c r="L346" s="515"/>
      <c r="M346" s="515"/>
      <c r="N346" s="143">
        <v>808</v>
      </c>
      <c r="O346" s="144">
        <v>1</v>
      </c>
      <c r="P346" s="144">
        <v>3</v>
      </c>
      <c r="Q346" s="145" t="s">
        <v>342</v>
      </c>
      <c r="R346" s="146" t="s">
        <v>39</v>
      </c>
      <c r="S346" s="500"/>
      <c r="T346" s="500"/>
      <c r="U346" s="164">
        <v>598.57000000000005</v>
      </c>
      <c r="V346" s="164">
        <v>0</v>
      </c>
      <c r="W346" s="164">
        <v>598.57000000000005</v>
      </c>
      <c r="X346" s="514"/>
      <c r="Y346" s="514"/>
      <c r="Z346" s="514"/>
      <c r="AA346" s="514"/>
      <c r="AB346" s="514"/>
      <c r="AC346" s="514"/>
      <c r="AD346" s="514"/>
      <c r="AE346" s="164"/>
      <c r="AF346" s="160"/>
      <c r="AG346" s="160">
        <v>145.77476999999999</v>
      </c>
      <c r="AH346" s="170">
        <f t="shared" si="11"/>
        <v>24.353838314649913</v>
      </c>
    </row>
    <row r="347" spans="1:34" ht="32.25" customHeight="1" x14ac:dyDescent="0.2">
      <c r="A347" s="141"/>
      <c r="B347" s="515" t="s">
        <v>334</v>
      </c>
      <c r="C347" s="515"/>
      <c r="D347" s="515"/>
      <c r="E347" s="515"/>
      <c r="F347" s="515"/>
      <c r="G347" s="515"/>
      <c r="H347" s="515"/>
      <c r="I347" s="515"/>
      <c r="J347" s="515"/>
      <c r="K347" s="515"/>
      <c r="L347" s="515"/>
      <c r="M347" s="515"/>
      <c r="N347" s="143">
        <v>808</v>
      </c>
      <c r="O347" s="144">
        <v>1</v>
      </c>
      <c r="P347" s="144">
        <v>3</v>
      </c>
      <c r="Q347" s="145" t="s">
        <v>342</v>
      </c>
      <c r="R347" s="146" t="s">
        <v>41</v>
      </c>
      <c r="S347" s="500"/>
      <c r="T347" s="500"/>
      <c r="U347" s="164">
        <v>180.768</v>
      </c>
      <c r="V347" s="164">
        <v>0</v>
      </c>
      <c r="W347" s="164">
        <v>180.768</v>
      </c>
      <c r="X347" s="514"/>
      <c r="Y347" s="514"/>
      <c r="Z347" s="514"/>
      <c r="AA347" s="514"/>
      <c r="AB347" s="514"/>
      <c r="AC347" s="514"/>
      <c r="AD347" s="514"/>
      <c r="AE347" s="164"/>
      <c r="AF347" s="160"/>
      <c r="AG347" s="160">
        <v>44.023980000000002</v>
      </c>
      <c r="AH347" s="170">
        <f t="shared" si="11"/>
        <v>24.35385687732342</v>
      </c>
    </row>
    <row r="348" spans="1:34" ht="32.25" customHeight="1" x14ac:dyDescent="0.2">
      <c r="A348" s="141"/>
      <c r="B348" s="515" t="s">
        <v>343</v>
      </c>
      <c r="C348" s="515"/>
      <c r="D348" s="515"/>
      <c r="E348" s="515"/>
      <c r="F348" s="515"/>
      <c r="G348" s="515"/>
      <c r="H348" s="515"/>
      <c r="I348" s="515"/>
      <c r="J348" s="515"/>
      <c r="K348" s="515"/>
      <c r="L348" s="515"/>
      <c r="M348" s="515"/>
      <c r="N348" s="143">
        <v>808</v>
      </c>
      <c r="O348" s="144">
        <v>1</v>
      </c>
      <c r="P348" s="144">
        <v>3</v>
      </c>
      <c r="Q348" s="145" t="s">
        <v>344</v>
      </c>
      <c r="R348" s="146">
        <v>0</v>
      </c>
      <c r="S348" s="500"/>
      <c r="T348" s="500"/>
      <c r="U348" s="164">
        <v>727.84</v>
      </c>
      <c r="V348" s="164">
        <v>0</v>
      </c>
      <c r="W348" s="164">
        <v>727.84</v>
      </c>
      <c r="X348" s="514"/>
      <c r="Y348" s="514"/>
      <c r="Z348" s="514"/>
      <c r="AA348" s="514"/>
      <c r="AB348" s="514"/>
      <c r="AC348" s="514"/>
      <c r="AD348" s="514"/>
      <c r="AE348" s="164"/>
      <c r="AF348" s="160"/>
      <c r="AG348" s="160">
        <f>+AG349+AG353</f>
        <v>228.38374000000002</v>
      </c>
      <c r="AH348" s="170">
        <f t="shared" si="11"/>
        <v>31.378289184436142</v>
      </c>
    </row>
    <row r="349" spans="1:34" ht="21.75" customHeight="1" x14ac:dyDescent="0.2">
      <c r="A349" s="141"/>
      <c r="B349" s="515" t="s">
        <v>345</v>
      </c>
      <c r="C349" s="515"/>
      <c r="D349" s="515"/>
      <c r="E349" s="515"/>
      <c r="F349" s="515"/>
      <c r="G349" s="515"/>
      <c r="H349" s="515"/>
      <c r="I349" s="515"/>
      <c r="J349" s="515"/>
      <c r="K349" s="515"/>
      <c r="L349" s="515"/>
      <c r="M349" s="515"/>
      <c r="N349" s="143">
        <v>808</v>
      </c>
      <c r="O349" s="144">
        <v>1</v>
      </c>
      <c r="P349" s="144">
        <v>3</v>
      </c>
      <c r="Q349" s="145" t="s">
        <v>344</v>
      </c>
      <c r="R349" s="146" t="s">
        <v>24</v>
      </c>
      <c r="S349" s="500"/>
      <c r="T349" s="500"/>
      <c r="U349" s="164">
        <v>717.84</v>
      </c>
      <c r="V349" s="164">
        <v>0</v>
      </c>
      <c r="W349" s="164">
        <v>717.84</v>
      </c>
      <c r="X349" s="514"/>
      <c r="Y349" s="514"/>
      <c r="Z349" s="514"/>
      <c r="AA349" s="514"/>
      <c r="AB349" s="514"/>
      <c r="AC349" s="514"/>
      <c r="AD349" s="514"/>
      <c r="AE349" s="164"/>
      <c r="AF349" s="160"/>
      <c r="AG349" s="160">
        <f>+AG350</f>
        <v>224.30474000000001</v>
      </c>
      <c r="AH349" s="170">
        <f t="shared" si="11"/>
        <v>31.247177644043241</v>
      </c>
    </row>
    <row r="350" spans="1:34" ht="21.75" customHeight="1" x14ac:dyDescent="0.2">
      <c r="A350" s="141"/>
      <c r="B350" s="515" t="s">
        <v>346</v>
      </c>
      <c r="C350" s="515"/>
      <c r="D350" s="515"/>
      <c r="E350" s="515"/>
      <c r="F350" s="515"/>
      <c r="G350" s="515"/>
      <c r="H350" s="515"/>
      <c r="I350" s="515"/>
      <c r="J350" s="515"/>
      <c r="K350" s="515"/>
      <c r="L350" s="515"/>
      <c r="M350" s="515"/>
      <c r="N350" s="143">
        <v>808</v>
      </c>
      <c r="O350" s="144">
        <v>1</v>
      </c>
      <c r="P350" s="144">
        <v>3</v>
      </c>
      <c r="Q350" s="145" t="s">
        <v>344</v>
      </c>
      <c r="R350" s="146" t="s">
        <v>26</v>
      </c>
      <c r="S350" s="500"/>
      <c r="T350" s="500"/>
      <c r="U350" s="164">
        <v>717.84</v>
      </c>
      <c r="V350" s="164">
        <v>0</v>
      </c>
      <c r="W350" s="164">
        <v>717.84</v>
      </c>
      <c r="X350" s="514"/>
      <c r="Y350" s="514"/>
      <c r="Z350" s="514"/>
      <c r="AA350" s="514"/>
      <c r="AB350" s="514"/>
      <c r="AC350" s="514"/>
      <c r="AD350" s="514"/>
      <c r="AE350" s="164"/>
      <c r="AF350" s="160"/>
      <c r="AG350" s="160">
        <f>+AG351+AG352</f>
        <v>224.30474000000001</v>
      </c>
      <c r="AH350" s="170">
        <f t="shared" si="11"/>
        <v>31.247177644043241</v>
      </c>
    </row>
    <row r="351" spans="1:34" ht="21.75" customHeight="1" x14ac:dyDescent="0.2">
      <c r="A351" s="141"/>
      <c r="B351" s="515" t="s">
        <v>347</v>
      </c>
      <c r="C351" s="515"/>
      <c r="D351" s="515"/>
      <c r="E351" s="515"/>
      <c r="F351" s="515"/>
      <c r="G351" s="515"/>
      <c r="H351" s="515"/>
      <c r="I351" s="515"/>
      <c r="J351" s="515"/>
      <c r="K351" s="515"/>
      <c r="L351" s="515"/>
      <c r="M351" s="515"/>
      <c r="N351" s="143">
        <v>808</v>
      </c>
      <c r="O351" s="144">
        <v>1</v>
      </c>
      <c r="P351" s="144">
        <v>3</v>
      </c>
      <c r="Q351" s="145" t="s">
        <v>344</v>
      </c>
      <c r="R351" s="146" t="s">
        <v>27</v>
      </c>
      <c r="S351" s="500"/>
      <c r="T351" s="500"/>
      <c r="U351" s="164">
        <v>111.643</v>
      </c>
      <c r="V351" s="164">
        <v>0</v>
      </c>
      <c r="W351" s="164">
        <v>111.643</v>
      </c>
      <c r="X351" s="514"/>
      <c r="Y351" s="514"/>
      <c r="Z351" s="514"/>
      <c r="AA351" s="514"/>
      <c r="AB351" s="514"/>
      <c r="AC351" s="514"/>
      <c r="AD351" s="514"/>
      <c r="AE351" s="164"/>
      <c r="AF351" s="160"/>
      <c r="AG351" s="160">
        <v>28.099740000000001</v>
      </c>
      <c r="AH351" s="170">
        <f t="shared" si="11"/>
        <v>25.169280653511638</v>
      </c>
    </row>
    <row r="352" spans="1:34" ht="12" customHeight="1" x14ac:dyDescent="0.2">
      <c r="A352" s="141"/>
      <c r="B352" s="515" t="s">
        <v>348</v>
      </c>
      <c r="C352" s="515"/>
      <c r="D352" s="515"/>
      <c r="E352" s="515"/>
      <c r="F352" s="515"/>
      <c r="G352" s="515"/>
      <c r="H352" s="515"/>
      <c r="I352" s="515"/>
      <c r="J352" s="515"/>
      <c r="K352" s="515"/>
      <c r="L352" s="515"/>
      <c r="M352" s="515"/>
      <c r="N352" s="143">
        <v>808</v>
      </c>
      <c r="O352" s="144">
        <v>1</v>
      </c>
      <c r="P352" s="144">
        <v>3</v>
      </c>
      <c r="Q352" s="145" t="s">
        <v>344</v>
      </c>
      <c r="R352" s="146" t="s">
        <v>28</v>
      </c>
      <c r="S352" s="500"/>
      <c r="T352" s="500"/>
      <c r="U352" s="164">
        <v>606.197</v>
      </c>
      <c r="V352" s="164">
        <v>0</v>
      </c>
      <c r="W352" s="164">
        <v>606.197</v>
      </c>
      <c r="X352" s="514"/>
      <c r="Y352" s="514"/>
      <c r="Z352" s="514"/>
      <c r="AA352" s="514"/>
      <c r="AB352" s="514"/>
      <c r="AC352" s="514"/>
      <c r="AD352" s="514"/>
      <c r="AE352" s="164"/>
      <c r="AF352" s="160"/>
      <c r="AG352" s="160">
        <v>196.20500000000001</v>
      </c>
      <c r="AH352" s="170">
        <f t="shared" si="11"/>
        <v>32.366540909968208</v>
      </c>
    </row>
    <row r="353" spans="1:34" ht="12" customHeight="1" x14ac:dyDescent="0.2">
      <c r="A353" s="141"/>
      <c r="B353" s="515" t="s">
        <v>29</v>
      </c>
      <c r="C353" s="515"/>
      <c r="D353" s="515"/>
      <c r="E353" s="515"/>
      <c r="F353" s="515"/>
      <c r="G353" s="515"/>
      <c r="H353" s="515"/>
      <c r="I353" s="515"/>
      <c r="J353" s="515"/>
      <c r="K353" s="515"/>
      <c r="L353" s="515"/>
      <c r="M353" s="515"/>
      <c r="N353" s="143">
        <v>808</v>
      </c>
      <c r="O353" s="144">
        <v>1</v>
      </c>
      <c r="P353" s="144">
        <v>3</v>
      </c>
      <c r="Q353" s="145" t="s">
        <v>344</v>
      </c>
      <c r="R353" s="146" t="s">
        <v>30</v>
      </c>
      <c r="S353" s="500"/>
      <c r="T353" s="500"/>
      <c r="U353" s="164">
        <v>10</v>
      </c>
      <c r="V353" s="164">
        <v>0</v>
      </c>
      <c r="W353" s="164">
        <v>10</v>
      </c>
      <c r="X353" s="514"/>
      <c r="Y353" s="514"/>
      <c r="Z353" s="514"/>
      <c r="AA353" s="514"/>
      <c r="AB353" s="514"/>
      <c r="AC353" s="514"/>
      <c r="AD353" s="514"/>
      <c r="AE353" s="164"/>
      <c r="AF353" s="160"/>
      <c r="AG353" s="160">
        <f>+AG354</f>
        <v>4.0789999999999997</v>
      </c>
      <c r="AH353" s="170">
        <f t="shared" si="11"/>
        <v>40.79</v>
      </c>
    </row>
    <row r="354" spans="1:34" ht="12" customHeight="1" x14ac:dyDescent="0.2">
      <c r="A354" s="141"/>
      <c r="B354" s="515" t="s">
        <v>349</v>
      </c>
      <c r="C354" s="515"/>
      <c r="D354" s="515"/>
      <c r="E354" s="515"/>
      <c r="F354" s="515"/>
      <c r="G354" s="515"/>
      <c r="H354" s="515"/>
      <c r="I354" s="515"/>
      <c r="J354" s="515"/>
      <c r="K354" s="515"/>
      <c r="L354" s="515"/>
      <c r="M354" s="515"/>
      <c r="N354" s="143">
        <v>808</v>
      </c>
      <c r="O354" s="144">
        <v>1</v>
      </c>
      <c r="P354" s="144">
        <v>3</v>
      </c>
      <c r="Q354" s="145" t="s">
        <v>344</v>
      </c>
      <c r="R354" s="146" t="s">
        <v>31</v>
      </c>
      <c r="S354" s="500"/>
      <c r="T354" s="500"/>
      <c r="U354" s="164">
        <v>10</v>
      </c>
      <c r="V354" s="164">
        <v>0</v>
      </c>
      <c r="W354" s="164">
        <v>10</v>
      </c>
      <c r="X354" s="514"/>
      <c r="Y354" s="514"/>
      <c r="Z354" s="514"/>
      <c r="AA354" s="514"/>
      <c r="AB354" s="514"/>
      <c r="AC354" s="514"/>
      <c r="AD354" s="514"/>
      <c r="AE354" s="164"/>
      <c r="AF354" s="160"/>
      <c r="AG354" s="160">
        <f>+AG355+AG356+AG357</f>
        <v>4.0789999999999997</v>
      </c>
      <c r="AH354" s="170">
        <f t="shared" si="11"/>
        <v>40.79</v>
      </c>
    </row>
    <row r="355" spans="1:34" ht="21.75" customHeight="1" x14ac:dyDescent="0.2">
      <c r="A355" s="141"/>
      <c r="B355" s="515" t="s">
        <v>32</v>
      </c>
      <c r="C355" s="515"/>
      <c r="D355" s="515"/>
      <c r="E355" s="515"/>
      <c r="F355" s="515"/>
      <c r="G355" s="515"/>
      <c r="H355" s="515"/>
      <c r="I355" s="515"/>
      <c r="J355" s="515"/>
      <c r="K355" s="515"/>
      <c r="L355" s="515"/>
      <c r="M355" s="515"/>
      <c r="N355" s="143">
        <v>808</v>
      </c>
      <c r="O355" s="144">
        <v>1</v>
      </c>
      <c r="P355" s="144">
        <v>3</v>
      </c>
      <c r="Q355" s="145" t="s">
        <v>344</v>
      </c>
      <c r="R355" s="146" t="s">
        <v>33</v>
      </c>
      <c r="S355" s="500"/>
      <c r="T355" s="500"/>
      <c r="U355" s="164">
        <v>6.5</v>
      </c>
      <c r="V355" s="164">
        <v>0</v>
      </c>
      <c r="W355" s="164">
        <v>6.5</v>
      </c>
      <c r="X355" s="514"/>
      <c r="Y355" s="514"/>
      <c r="Z355" s="514"/>
      <c r="AA355" s="514"/>
      <c r="AB355" s="514"/>
      <c r="AC355" s="514"/>
      <c r="AD355" s="514"/>
      <c r="AE355" s="164"/>
      <c r="AF355" s="160"/>
      <c r="AG355" s="160">
        <v>3.9510000000000001</v>
      </c>
      <c r="AH355" s="170">
        <f t="shared" si="11"/>
        <v>60.784615384615378</v>
      </c>
    </row>
    <row r="356" spans="1:34" ht="12" customHeight="1" x14ac:dyDescent="0.2">
      <c r="A356" s="141"/>
      <c r="B356" s="515" t="s">
        <v>350</v>
      </c>
      <c r="C356" s="515"/>
      <c r="D356" s="515"/>
      <c r="E356" s="515"/>
      <c r="F356" s="515"/>
      <c r="G356" s="515"/>
      <c r="H356" s="515"/>
      <c r="I356" s="515"/>
      <c r="J356" s="515"/>
      <c r="K356" s="515"/>
      <c r="L356" s="515"/>
      <c r="M356" s="515"/>
      <c r="N356" s="143">
        <v>808</v>
      </c>
      <c r="O356" s="144">
        <v>1</v>
      </c>
      <c r="P356" s="144">
        <v>3</v>
      </c>
      <c r="Q356" s="145" t="s">
        <v>344</v>
      </c>
      <c r="R356" s="146" t="s">
        <v>34</v>
      </c>
      <c r="S356" s="500"/>
      <c r="T356" s="500"/>
      <c r="U356" s="164">
        <v>2</v>
      </c>
      <c r="V356" s="164">
        <v>0</v>
      </c>
      <c r="W356" s="164">
        <v>2</v>
      </c>
      <c r="X356" s="514"/>
      <c r="Y356" s="514"/>
      <c r="Z356" s="514"/>
      <c r="AA356" s="514"/>
      <c r="AB356" s="514"/>
      <c r="AC356" s="514"/>
      <c r="AD356" s="514"/>
      <c r="AE356" s="164"/>
      <c r="AF356" s="160"/>
      <c r="AG356" s="160">
        <v>0.128</v>
      </c>
      <c r="AH356" s="170">
        <f t="shared" si="11"/>
        <v>6.4</v>
      </c>
    </row>
    <row r="357" spans="1:34" ht="12" customHeight="1" x14ac:dyDescent="0.2">
      <c r="A357" s="141"/>
      <c r="B357" s="515" t="s">
        <v>81</v>
      </c>
      <c r="C357" s="515"/>
      <c r="D357" s="515"/>
      <c r="E357" s="515"/>
      <c r="F357" s="515"/>
      <c r="G357" s="515"/>
      <c r="H357" s="515"/>
      <c r="I357" s="515"/>
      <c r="J357" s="515"/>
      <c r="K357" s="515"/>
      <c r="L357" s="515"/>
      <c r="M357" s="515"/>
      <c r="N357" s="143">
        <v>808</v>
      </c>
      <c r="O357" s="144">
        <v>1</v>
      </c>
      <c r="P357" s="144">
        <v>3</v>
      </c>
      <c r="Q357" s="145" t="s">
        <v>344</v>
      </c>
      <c r="R357" s="146" t="s">
        <v>82</v>
      </c>
      <c r="S357" s="500"/>
      <c r="T357" s="500"/>
      <c r="U357" s="164">
        <v>1.5</v>
      </c>
      <c r="V357" s="164">
        <v>0</v>
      </c>
      <c r="W357" s="164">
        <v>1.5</v>
      </c>
      <c r="X357" s="514"/>
      <c r="Y357" s="514"/>
      <c r="Z357" s="514"/>
      <c r="AA357" s="514"/>
      <c r="AB357" s="514"/>
      <c r="AC357" s="514"/>
      <c r="AD357" s="514"/>
      <c r="AE357" s="164"/>
      <c r="AF357" s="160"/>
      <c r="AG357" s="160"/>
      <c r="AH357" s="170">
        <f t="shared" si="11"/>
        <v>0</v>
      </c>
    </row>
    <row r="358" spans="1:34" ht="32.25" customHeight="1" x14ac:dyDescent="0.2">
      <c r="A358" s="141"/>
      <c r="B358" s="515" t="s">
        <v>78</v>
      </c>
      <c r="C358" s="515"/>
      <c r="D358" s="515"/>
      <c r="E358" s="515"/>
      <c r="F358" s="515"/>
      <c r="G358" s="515"/>
      <c r="H358" s="515"/>
      <c r="I358" s="515"/>
      <c r="J358" s="515"/>
      <c r="K358" s="515"/>
      <c r="L358" s="515"/>
      <c r="M358" s="515"/>
      <c r="N358" s="143">
        <v>808</v>
      </c>
      <c r="O358" s="144">
        <v>1</v>
      </c>
      <c r="P358" s="144">
        <v>6</v>
      </c>
      <c r="Q358" s="145">
        <v>0</v>
      </c>
      <c r="R358" s="146">
        <v>0</v>
      </c>
      <c r="S358" s="500"/>
      <c r="T358" s="500"/>
      <c r="U358" s="164">
        <v>1414.99</v>
      </c>
      <c r="V358" s="164">
        <v>0</v>
      </c>
      <c r="W358" s="164">
        <v>1414.99</v>
      </c>
      <c r="X358" s="514"/>
      <c r="Y358" s="514"/>
      <c r="Z358" s="514"/>
      <c r="AA358" s="514"/>
      <c r="AB358" s="514"/>
      <c r="AC358" s="514"/>
      <c r="AD358" s="514"/>
      <c r="AE358" s="164"/>
      <c r="AF358" s="160"/>
      <c r="AG358" s="160">
        <f>+AG359</f>
        <v>389.68783000000008</v>
      </c>
      <c r="AH358" s="170">
        <f t="shared" si="11"/>
        <v>27.539970600498947</v>
      </c>
    </row>
    <row r="359" spans="1:34" ht="32.25" customHeight="1" x14ac:dyDescent="0.2">
      <c r="A359" s="141"/>
      <c r="B359" s="515" t="s">
        <v>367</v>
      </c>
      <c r="C359" s="515"/>
      <c r="D359" s="515"/>
      <c r="E359" s="515"/>
      <c r="F359" s="515"/>
      <c r="G359" s="515"/>
      <c r="H359" s="515"/>
      <c r="I359" s="515"/>
      <c r="J359" s="515"/>
      <c r="K359" s="515"/>
      <c r="L359" s="515"/>
      <c r="M359" s="515"/>
      <c r="N359" s="143">
        <v>808</v>
      </c>
      <c r="O359" s="144">
        <v>1</v>
      </c>
      <c r="P359" s="144">
        <v>6</v>
      </c>
      <c r="Q359" s="145" t="s">
        <v>368</v>
      </c>
      <c r="R359" s="146">
        <v>0</v>
      </c>
      <c r="S359" s="500"/>
      <c r="T359" s="500"/>
      <c r="U359" s="164">
        <v>1414.99</v>
      </c>
      <c r="V359" s="164">
        <v>0</v>
      </c>
      <c r="W359" s="164">
        <v>1414.99</v>
      </c>
      <c r="X359" s="514"/>
      <c r="Y359" s="514"/>
      <c r="Z359" s="514"/>
      <c r="AA359" s="514"/>
      <c r="AB359" s="514"/>
      <c r="AC359" s="514"/>
      <c r="AD359" s="514"/>
      <c r="AE359" s="164"/>
      <c r="AF359" s="160"/>
      <c r="AG359" s="160">
        <f>+AG360+AG365+AG370</f>
        <v>389.68783000000008</v>
      </c>
      <c r="AH359" s="170">
        <f t="shared" si="11"/>
        <v>27.539970600498947</v>
      </c>
    </row>
    <row r="360" spans="1:34" ht="32.25" customHeight="1" x14ac:dyDescent="0.2">
      <c r="A360" s="141"/>
      <c r="B360" s="515" t="s">
        <v>369</v>
      </c>
      <c r="C360" s="515"/>
      <c r="D360" s="515"/>
      <c r="E360" s="515"/>
      <c r="F360" s="515"/>
      <c r="G360" s="515"/>
      <c r="H360" s="515"/>
      <c r="I360" s="515"/>
      <c r="J360" s="515"/>
      <c r="K360" s="515"/>
      <c r="L360" s="515"/>
      <c r="M360" s="515"/>
      <c r="N360" s="143">
        <v>808</v>
      </c>
      <c r="O360" s="144">
        <v>1</v>
      </c>
      <c r="P360" s="144">
        <v>6</v>
      </c>
      <c r="Q360" s="145" t="s">
        <v>370</v>
      </c>
      <c r="R360" s="146">
        <v>0</v>
      </c>
      <c r="S360" s="500"/>
      <c r="T360" s="500"/>
      <c r="U360" s="164">
        <v>764.73599999999999</v>
      </c>
      <c r="V360" s="164">
        <v>0</v>
      </c>
      <c r="W360" s="164">
        <v>764.73599999999999</v>
      </c>
      <c r="X360" s="514"/>
      <c r="Y360" s="514"/>
      <c r="Z360" s="514"/>
      <c r="AA360" s="514"/>
      <c r="AB360" s="514"/>
      <c r="AC360" s="514"/>
      <c r="AD360" s="514"/>
      <c r="AE360" s="164"/>
      <c r="AF360" s="160"/>
      <c r="AG360" s="160">
        <f>+AG361</f>
        <v>186.32093</v>
      </c>
      <c r="AH360" s="170">
        <f t="shared" si="11"/>
        <v>24.364085122185958</v>
      </c>
    </row>
    <row r="361" spans="1:34" ht="53.25" customHeight="1" x14ac:dyDescent="0.2">
      <c r="A361" s="141"/>
      <c r="B361" s="515" t="s">
        <v>17</v>
      </c>
      <c r="C361" s="515"/>
      <c r="D361" s="515"/>
      <c r="E361" s="515"/>
      <c r="F361" s="515"/>
      <c r="G361" s="515"/>
      <c r="H361" s="515"/>
      <c r="I361" s="515"/>
      <c r="J361" s="515"/>
      <c r="K361" s="515"/>
      <c r="L361" s="515"/>
      <c r="M361" s="515"/>
      <c r="N361" s="143">
        <v>808</v>
      </c>
      <c r="O361" s="144">
        <v>1</v>
      </c>
      <c r="P361" s="144">
        <v>6</v>
      </c>
      <c r="Q361" s="145" t="s">
        <v>370</v>
      </c>
      <c r="R361" s="146" t="s">
        <v>18</v>
      </c>
      <c r="S361" s="500"/>
      <c r="T361" s="500"/>
      <c r="U361" s="164">
        <v>764.73599999999999</v>
      </c>
      <c r="V361" s="164">
        <v>0</v>
      </c>
      <c r="W361" s="164">
        <v>764.73599999999999</v>
      </c>
      <c r="X361" s="514"/>
      <c r="Y361" s="514"/>
      <c r="Z361" s="514"/>
      <c r="AA361" s="514"/>
      <c r="AB361" s="514"/>
      <c r="AC361" s="514"/>
      <c r="AD361" s="514"/>
      <c r="AE361" s="164"/>
      <c r="AF361" s="160"/>
      <c r="AG361" s="160">
        <f>+AG362</f>
        <v>186.32093</v>
      </c>
      <c r="AH361" s="170">
        <f t="shared" si="11"/>
        <v>24.364085122185958</v>
      </c>
    </row>
    <row r="362" spans="1:34" ht="21.75" customHeight="1" x14ac:dyDescent="0.2">
      <c r="A362" s="141"/>
      <c r="B362" s="515" t="s">
        <v>37</v>
      </c>
      <c r="C362" s="515"/>
      <c r="D362" s="515"/>
      <c r="E362" s="515"/>
      <c r="F362" s="515"/>
      <c r="G362" s="515"/>
      <c r="H362" s="515"/>
      <c r="I362" s="515"/>
      <c r="J362" s="515"/>
      <c r="K362" s="515"/>
      <c r="L362" s="515"/>
      <c r="M362" s="515"/>
      <c r="N362" s="143">
        <v>808</v>
      </c>
      <c r="O362" s="144">
        <v>1</v>
      </c>
      <c r="P362" s="144">
        <v>6</v>
      </c>
      <c r="Q362" s="145" t="s">
        <v>370</v>
      </c>
      <c r="R362" s="146" t="s">
        <v>38</v>
      </c>
      <c r="S362" s="500"/>
      <c r="T362" s="500"/>
      <c r="U362" s="164">
        <v>764.73599999999999</v>
      </c>
      <c r="V362" s="164">
        <v>0</v>
      </c>
      <c r="W362" s="164">
        <v>764.73599999999999</v>
      </c>
      <c r="X362" s="514"/>
      <c r="Y362" s="514"/>
      <c r="Z362" s="514"/>
      <c r="AA362" s="514"/>
      <c r="AB362" s="514"/>
      <c r="AC362" s="514"/>
      <c r="AD362" s="514"/>
      <c r="AE362" s="164"/>
      <c r="AF362" s="160"/>
      <c r="AG362" s="160">
        <f>+AG363+AG364</f>
        <v>186.32093</v>
      </c>
      <c r="AH362" s="170">
        <f t="shared" si="11"/>
        <v>24.364085122185958</v>
      </c>
    </row>
    <row r="363" spans="1:34" ht="21.75" customHeight="1" x14ac:dyDescent="0.2">
      <c r="A363" s="141"/>
      <c r="B363" s="515" t="s">
        <v>333</v>
      </c>
      <c r="C363" s="515"/>
      <c r="D363" s="515"/>
      <c r="E363" s="515"/>
      <c r="F363" s="515"/>
      <c r="G363" s="515"/>
      <c r="H363" s="515"/>
      <c r="I363" s="515"/>
      <c r="J363" s="515"/>
      <c r="K363" s="515"/>
      <c r="L363" s="515"/>
      <c r="M363" s="515"/>
      <c r="N363" s="143">
        <v>808</v>
      </c>
      <c r="O363" s="144">
        <v>1</v>
      </c>
      <c r="P363" s="144">
        <v>6</v>
      </c>
      <c r="Q363" s="145" t="s">
        <v>370</v>
      </c>
      <c r="R363" s="146" t="s">
        <v>39</v>
      </c>
      <c r="S363" s="500"/>
      <c r="T363" s="500"/>
      <c r="U363" s="164">
        <v>587.35500000000002</v>
      </c>
      <c r="V363" s="164">
        <v>0</v>
      </c>
      <c r="W363" s="164">
        <v>587.35500000000002</v>
      </c>
      <c r="X363" s="514"/>
      <c r="Y363" s="514"/>
      <c r="Z363" s="514"/>
      <c r="AA363" s="514"/>
      <c r="AB363" s="514"/>
      <c r="AC363" s="514"/>
      <c r="AD363" s="514"/>
      <c r="AE363" s="164"/>
      <c r="AF363" s="160"/>
      <c r="AG363" s="160">
        <v>143.10363000000001</v>
      </c>
      <c r="AH363" s="170">
        <f t="shared" si="11"/>
        <v>24.364077942641163</v>
      </c>
    </row>
    <row r="364" spans="1:34" ht="32.25" customHeight="1" x14ac:dyDescent="0.2">
      <c r="A364" s="141"/>
      <c r="B364" s="515" t="s">
        <v>334</v>
      </c>
      <c r="C364" s="515"/>
      <c r="D364" s="515"/>
      <c r="E364" s="515"/>
      <c r="F364" s="515"/>
      <c r="G364" s="515"/>
      <c r="H364" s="515"/>
      <c r="I364" s="515"/>
      <c r="J364" s="515"/>
      <c r="K364" s="515"/>
      <c r="L364" s="515"/>
      <c r="M364" s="515"/>
      <c r="N364" s="143">
        <v>808</v>
      </c>
      <c r="O364" s="144">
        <v>1</v>
      </c>
      <c r="P364" s="144">
        <v>6</v>
      </c>
      <c r="Q364" s="145" t="s">
        <v>370</v>
      </c>
      <c r="R364" s="146" t="s">
        <v>41</v>
      </c>
      <c r="S364" s="500"/>
      <c r="T364" s="500"/>
      <c r="U364" s="164">
        <v>177.381</v>
      </c>
      <c r="V364" s="164">
        <v>0</v>
      </c>
      <c r="W364" s="164">
        <v>177.381</v>
      </c>
      <c r="X364" s="514"/>
      <c r="Y364" s="514"/>
      <c r="Z364" s="514"/>
      <c r="AA364" s="514"/>
      <c r="AB364" s="514"/>
      <c r="AC364" s="514"/>
      <c r="AD364" s="514"/>
      <c r="AE364" s="164"/>
      <c r="AF364" s="160"/>
      <c r="AG364" s="160">
        <v>43.217300000000002</v>
      </c>
      <c r="AH364" s="170">
        <f t="shared" si="11"/>
        <v>24.364108895541236</v>
      </c>
    </row>
    <row r="365" spans="1:34" ht="32.25" customHeight="1" x14ac:dyDescent="0.2">
      <c r="A365" s="141"/>
      <c r="B365" s="515" t="s">
        <v>371</v>
      </c>
      <c r="C365" s="515"/>
      <c r="D365" s="515"/>
      <c r="E365" s="515"/>
      <c r="F365" s="515"/>
      <c r="G365" s="515"/>
      <c r="H365" s="515"/>
      <c r="I365" s="515"/>
      <c r="J365" s="515"/>
      <c r="K365" s="515"/>
      <c r="L365" s="515"/>
      <c r="M365" s="515"/>
      <c r="N365" s="143">
        <v>808</v>
      </c>
      <c r="O365" s="144">
        <v>1</v>
      </c>
      <c r="P365" s="144">
        <v>6</v>
      </c>
      <c r="Q365" s="145" t="s">
        <v>372</v>
      </c>
      <c r="R365" s="146">
        <v>0</v>
      </c>
      <c r="S365" s="500"/>
      <c r="T365" s="500"/>
      <c r="U365" s="164">
        <v>581.28499999999997</v>
      </c>
      <c r="V365" s="164">
        <v>0</v>
      </c>
      <c r="W365" s="164">
        <v>581.28499999999997</v>
      </c>
      <c r="X365" s="514"/>
      <c r="Y365" s="514"/>
      <c r="Z365" s="514"/>
      <c r="AA365" s="514"/>
      <c r="AB365" s="514"/>
      <c r="AC365" s="514"/>
      <c r="AD365" s="514"/>
      <c r="AE365" s="164"/>
      <c r="AF365" s="160"/>
      <c r="AG365" s="160">
        <f>+AG366</f>
        <v>167.30860000000001</v>
      </c>
      <c r="AH365" s="170">
        <f t="shared" si="11"/>
        <v>28.782542126495613</v>
      </c>
    </row>
    <row r="366" spans="1:34" ht="53.25" customHeight="1" x14ac:dyDescent="0.2">
      <c r="A366" s="141"/>
      <c r="B366" s="515" t="s">
        <v>17</v>
      </c>
      <c r="C366" s="515"/>
      <c r="D366" s="515"/>
      <c r="E366" s="515"/>
      <c r="F366" s="515"/>
      <c r="G366" s="515"/>
      <c r="H366" s="515"/>
      <c r="I366" s="515"/>
      <c r="J366" s="515"/>
      <c r="K366" s="515"/>
      <c r="L366" s="515"/>
      <c r="M366" s="515"/>
      <c r="N366" s="143">
        <v>808</v>
      </c>
      <c r="O366" s="144">
        <v>1</v>
      </c>
      <c r="P366" s="144">
        <v>6</v>
      </c>
      <c r="Q366" s="145" t="s">
        <v>372</v>
      </c>
      <c r="R366" s="146" t="s">
        <v>18</v>
      </c>
      <c r="S366" s="500"/>
      <c r="T366" s="500"/>
      <c r="U366" s="164">
        <v>581.28499999999997</v>
      </c>
      <c r="V366" s="164">
        <v>0</v>
      </c>
      <c r="W366" s="164">
        <v>581.28499999999997</v>
      </c>
      <c r="X366" s="514"/>
      <c r="Y366" s="514"/>
      <c r="Z366" s="514"/>
      <c r="AA366" s="514"/>
      <c r="AB366" s="514"/>
      <c r="AC366" s="514"/>
      <c r="AD366" s="514"/>
      <c r="AE366" s="164"/>
      <c r="AF366" s="160"/>
      <c r="AG366" s="160">
        <f>+AG367</f>
        <v>167.30860000000001</v>
      </c>
      <c r="AH366" s="170">
        <f t="shared" si="11"/>
        <v>28.782542126495613</v>
      </c>
    </row>
    <row r="367" spans="1:34" ht="21.75" customHeight="1" x14ac:dyDescent="0.2">
      <c r="A367" s="141"/>
      <c r="B367" s="515" t="s">
        <v>37</v>
      </c>
      <c r="C367" s="515"/>
      <c r="D367" s="515"/>
      <c r="E367" s="515"/>
      <c r="F367" s="515"/>
      <c r="G367" s="515"/>
      <c r="H367" s="515"/>
      <c r="I367" s="515"/>
      <c r="J367" s="515"/>
      <c r="K367" s="515"/>
      <c r="L367" s="515"/>
      <c r="M367" s="515"/>
      <c r="N367" s="143">
        <v>808</v>
      </c>
      <c r="O367" s="144">
        <v>1</v>
      </c>
      <c r="P367" s="144">
        <v>6</v>
      </c>
      <c r="Q367" s="145" t="s">
        <v>372</v>
      </c>
      <c r="R367" s="146" t="s">
        <v>38</v>
      </c>
      <c r="S367" s="500"/>
      <c r="T367" s="500"/>
      <c r="U367" s="164">
        <v>581.28499999999997</v>
      </c>
      <c r="V367" s="164">
        <v>0</v>
      </c>
      <c r="W367" s="164">
        <v>581.28499999999997</v>
      </c>
      <c r="X367" s="514"/>
      <c r="Y367" s="514"/>
      <c r="Z367" s="514"/>
      <c r="AA367" s="514"/>
      <c r="AB367" s="514"/>
      <c r="AC367" s="514"/>
      <c r="AD367" s="514"/>
      <c r="AE367" s="164"/>
      <c r="AF367" s="160"/>
      <c r="AG367" s="160">
        <f>+AG368+AG369</f>
        <v>167.30860000000001</v>
      </c>
      <c r="AH367" s="170">
        <f t="shared" si="11"/>
        <v>28.782542126495613</v>
      </c>
    </row>
    <row r="368" spans="1:34" ht="21.75" customHeight="1" x14ac:dyDescent="0.2">
      <c r="A368" s="141"/>
      <c r="B368" s="515" t="s">
        <v>333</v>
      </c>
      <c r="C368" s="515"/>
      <c r="D368" s="515"/>
      <c r="E368" s="515"/>
      <c r="F368" s="515"/>
      <c r="G368" s="515"/>
      <c r="H368" s="515"/>
      <c r="I368" s="515"/>
      <c r="J368" s="515"/>
      <c r="K368" s="515"/>
      <c r="L368" s="515"/>
      <c r="M368" s="515"/>
      <c r="N368" s="143">
        <v>808</v>
      </c>
      <c r="O368" s="144">
        <v>1</v>
      </c>
      <c r="P368" s="144">
        <v>6</v>
      </c>
      <c r="Q368" s="145" t="s">
        <v>372</v>
      </c>
      <c r="R368" s="146" t="s">
        <v>39</v>
      </c>
      <c r="S368" s="500"/>
      <c r="T368" s="500"/>
      <c r="U368" s="164">
        <v>446.45499999999998</v>
      </c>
      <c r="V368" s="164">
        <v>0</v>
      </c>
      <c r="W368" s="164">
        <v>446.45499999999998</v>
      </c>
      <c r="X368" s="514"/>
      <c r="Y368" s="514"/>
      <c r="Z368" s="514"/>
      <c r="AA368" s="514"/>
      <c r="AB368" s="514"/>
      <c r="AC368" s="514"/>
      <c r="AD368" s="514"/>
      <c r="AE368" s="164"/>
      <c r="AF368" s="160"/>
      <c r="AG368" s="160">
        <v>129.42289</v>
      </c>
      <c r="AH368" s="170">
        <f t="shared" si="11"/>
        <v>28.989011210536336</v>
      </c>
    </row>
    <row r="369" spans="1:34" ht="32.25" customHeight="1" x14ac:dyDescent="0.2">
      <c r="A369" s="141"/>
      <c r="B369" s="515" t="s">
        <v>334</v>
      </c>
      <c r="C369" s="515"/>
      <c r="D369" s="515"/>
      <c r="E369" s="515"/>
      <c r="F369" s="515"/>
      <c r="G369" s="515"/>
      <c r="H369" s="515"/>
      <c r="I369" s="515"/>
      <c r="J369" s="515"/>
      <c r="K369" s="515"/>
      <c r="L369" s="515"/>
      <c r="M369" s="515"/>
      <c r="N369" s="143">
        <v>808</v>
      </c>
      <c r="O369" s="144">
        <v>1</v>
      </c>
      <c r="P369" s="144">
        <v>6</v>
      </c>
      <c r="Q369" s="145" t="s">
        <v>372</v>
      </c>
      <c r="R369" s="146" t="s">
        <v>41</v>
      </c>
      <c r="S369" s="500"/>
      <c r="T369" s="500"/>
      <c r="U369" s="164">
        <v>134.83000000000001</v>
      </c>
      <c r="V369" s="164">
        <v>0</v>
      </c>
      <c r="W369" s="164">
        <v>134.83000000000001</v>
      </c>
      <c r="X369" s="514"/>
      <c r="Y369" s="514"/>
      <c r="Z369" s="514"/>
      <c r="AA369" s="514"/>
      <c r="AB369" s="514"/>
      <c r="AC369" s="514"/>
      <c r="AD369" s="514"/>
      <c r="AE369" s="164"/>
      <c r="AF369" s="160"/>
      <c r="AG369" s="160">
        <v>37.885710000000003</v>
      </c>
      <c r="AH369" s="170">
        <f t="shared" si="11"/>
        <v>28.098872654453753</v>
      </c>
    </row>
    <row r="370" spans="1:34" ht="32.25" customHeight="1" x14ac:dyDescent="0.2">
      <c r="A370" s="141"/>
      <c r="B370" s="515" t="s">
        <v>373</v>
      </c>
      <c r="C370" s="515"/>
      <c r="D370" s="515"/>
      <c r="E370" s="515"/>
      <c r="F370" s="515"/>
      <c r="G370" s="515"/>
      <c r="H370" s="515"/>
      <c r="I370" s="515"/>
      <c r="J370" s="515"/>
      <c r="K370" s="515"/>
      <c r="L370" s="515"/>
      <c r="M370" s="515"/>
      <c r="N370" s="143">
        <v>808</v>
      </c>
      <c r="O370" s="144">
        <v>1</v>
      </c>
      <c r="P370" s="144">
        <v>6</v>
      </c>
      <c r="Q370" s="145" t="s">
        <v>374</v>
      </c>
      <c r="R370" s="146">
        <v>0</v>
      </c>
      <c r="S370" s="500"/>
      <c r="T370" s="500"/>
      <c r="U370" s="164">
        <v>68.968999999999994</v>
      </c>
      <c r="V370" s="164">
        <v>0</v>
      </c>
      <c r="W370" s="164">
        <v>68.968999999999994</v>
      </c>
      <c r="X370" s="514"/>
      <c r="Y370" s="514"/>
      <c r="Z370" s="514"/>
      <c r="AA370" s="514"/>
      <c r="AB370" s="514"/>
      <c r="AC370" s="514"/>
      <c r="AD370" s="514"/>
      <c r="AE370" s="164"/>
      <c r="AF370" s="160"/>
      <c r="AG370" s="160">
        <f>+AG371</f>
        <v>36.058300000000003</v>
      </c>
      <c r="AH370" s="170">
        <f t="shared" si="11"/>
        <v>52.281894764314409</v>
      </c>
    </row>
    <row r="371" spans="1:34" ht="21.75" customHeight="1" x14ac:dyDescent="0.2">
      <c r="A371" s="141"/>
      <c r="B371" s="515" t="s">
        <v>345</v>
      </c>
      <c r="C371" s="515"/>
      <c r="D371" s="515"/>
      <c r="E371" s="515"/>
      <c r="F371" s="515"/>
      <c r="G371" s="515"/>
      <c r="H371" s="515"/>
      <c r="I371" s="515"/>
      <c r="J371" s="515"/>
      <c r="K371" s="515"/>
      <c r="L371" s="515"/>
      <c r="M371" s="515"/>
      <c r="N371" s="143">
        <v>808</v>
      </c>
      <c r="O371" s="144">
        <v>1</v>
      </c>
      <c r="P371" s="144">
        <v>6</v>
      </c>
      <c r="Q371" s="145" t="s">
        <v>374</v>
      </c>
      <c r="R371" s="146" t="s">
        <v>24</v>
      </c>
      <c r="S371" s="500"/>
      <c r="T371" s="500"/>
      <c r="U371" s="164">
        <v>68.968999999999994</v>
      </c>
      <c r="V371" s="164">
        <v>0</v>
      </c>
      <c r="W371" s="164">
        <v>68.968999999999994</v>
      </c>
      <c r="X371" s="514"/>
      <c r="Y371" s="514"/>
      <c r="Z371" s="514"/>
      <c r="AA371" s="514"/>
      <c r="AB371" s="514"/>
      <c r="AC371" s="514"/>
      <c r="AD371" s="514"/>
      <c r="AE371" s="164"/>
      <c r="AF371" s="160"/>
      <c r="AG371" s="160">
        <f>+AG372</f>
        <v>36.058300000000003</v>
      </c>
      <c r="AH371" s="170">
        <f t="shared" si="11"/>
        <v>52.281894764314409</v>
      </c>
    </row>
    <row r="372" spans="1:34" ht="21.75" customHeight="1" x14ac:dyDescent="0.2">
      <c r="A372" s="141"/>
      <c r="B372" s="515" t="s">
        <v>346</v>
      </c>
      <c r="C372" s="515"/>
      <c r="D372" s="515"/>
      <c r="E372" s="515"/>
      <c r="F372" s="515"/>
      <c r="G372" s="515"/>
      <c r="H372" s="515"/>
      <c r="I372" s="515"/>
      <c r="J372" s="515"/>
      <c r="K372" s="515"/>
      <c r="L372" s="515"/>
      <c r="M372" s="515"/>
      <c r="N372" s="143">
        <v>808</v>
      </c>
      <c r="O372" s="144">
        <v>1</v>
      </c>
      <c r="P372" s="144">
        <v>6</v>
      </c>
      <c r="Q372" s="145" t="s">
        <v>374</v>
      </c>
      <c r="R372" s="146" t="s">
        <v>26</v>
      </c>
      <c r="S372" s="500"/>
      <c r="T372" s="500"/>
      <c r="U372" s="164">
        <v>68.968999999999994</v>
      </c>
      <c r="V372" s="164">
        <v>0</v>
      </c>
      <c r="W372" s="164">
        <v>68.968999999999994</v>
      </c>
      <c r="X372" s="514"/>
      <c r="Y372" s="514"/>
      <c r="Z372" s="514"/>
      <c r="AA372" s="514"/>
      <c r="AB372" s="514"/>
      <c r="AC372" s="514"/>
      <c r="AD372" s="514"/>
      <c r="AE372" s="164"/>
      <c r="AF372" s="160"/>
      <c r="AG372" s="160">
        <f>+AG373+AG374</f>
        <v>36.058300000000003</v>
      </c>
      <c r="AH372" s="170">
        <f t="shared" si="11"/>
        <v>52.281894764314409</v>
      </c>
    </row>
    <row r="373" spans="1:34" ht="21.75" customHeight="1" x14ac:dyDescent="0.2">
      <c r="A373" s="141"/>
      <c r="B373" s="515" t="s">
        <v>347</v>
      </c>
      <c r="C373" s="515"/>
      <c r="D373" s="515"/>
      <c r="E373" s="515"/>
      <c r="F373" s="515"/>
      <c r="G373" s="515"/>
      <c r="H373" s="515"/>
      <c r="I373" s="515"/>
      <c r="J373" s="515"/>
      <c r="K373" s="515"/>
      <c r="L373" s="515"/>
      <c r="M373" s="515"/>
      <c r="N373" s="143">
        <v>808</v>
      </c>
      <c r="O373" s="144">
        <v>1</v>
      </c>
      <c r="P373" s="144">
        <v>6</v>
      </c>
      <c r="Q373" s="145" t="s">
        <v>374</v>
      </c>
      <c r="R373" s="146" t="s">
        <v>27</v>
      </c>
      <c r="S373" s="500"/>
      <c r="T373" s="500"/>
      <c r="U373" s="164">
        <v>38.448999999999998</v>
      </c>
      <c r="V373" s="164">
        <v>0</v>
      </c>
      <c r="W373" s="164">
        <v>38.448999999999998</v>
      </c>
      <c r="X373" s="514"/>
      <c r="Y373" s="514"/>
      <c r="Z373" s="514"/>
      <c r="AA373" s="514"/>
      <c r="AB373" s="514"/>
      <c r="AC373" s="514"/>
      <c r="AD373" s="514"/>
      <c r="AE373" s="164"/>
      <c r="AF373" s="160"/>
      <c r="AG373" s="160">
        <v>5.5382999999999996</v>
      </c>
      <c r="AH373" s="170">
        <f t="shared" si="11"/>
        <v>14.404275793908813</v>
      </c>
    </row>
    <row r="374" spans="1:34" ht="12" customHeight="1" x14ac:dyDescent="0.2">
      <c r="A374" s="141"/>
      <c r="B374" s="515" t="s">
        <v>348</v>
      </c>
      <c r="C374" s="515"/>
      <c r="D374" s="515"/>
      <c r="E374" s="515"/>
      <c r="F374" s="515"/>
      <c r="G374" s="515"/>
      <c r="H374" s="515"/>
      <c r="I374" s="515"/>
      <c r="J374" s="515"/>
      <c r="K374" s="515"/>
      <c r="L374" s="515"/>
      <c r="M374" s="515"/>
      <c r="N374" s="143">
        <v>808</v>
      </c>
      <c r="O374" s="144">
        <v>1</v>
      </c>
      <c r="P374" s="144">
        <v>6</v>
      </c>
      <c r="Q374" s="145" t="s">
        <v>374</v>
      </c>
      <c r="R374" s="146" t="s">
        <v>28</v>
      </c>
      <c r="S374" s="500"/>
      <c r="T374" s="500"/>
      <c r="U374" s="164">
        <v>30.52</v>
      </c>
      <c r="V374" s="164">
        <v>0</v>
      </c>
      <c r="W374" s="164">
        <v>30.52</v>
      </c>
      <c r="X374" s="514"/>
      <c r="Y374" s="514"/>
      <c r="Z374" s="514"/>
      <c r="AA374" s="514"/>
      <c r="AB374" s="514"/>
      <c r="AC374" s="514"/>
      <c r="AD374" s="514"/>
      <c r="AE374" s="164"/>
      <c r="AF374" s="160"/>
      <c r="AG374" s="160">
        <v>30.52</v>
      </c>
      <c r="AH374" s="170">
        <f t="shared" si="11"/>
        <v>100</v>
      </c>
    </row>
    <row r="375" spans="1:34" ht="12" customHeight="1" x14ac:dyDescent="0.2">
      <c r="A375" s="141"/>
      <c r="B375" s="515" t="s">
        <v>302</v>
      </c>
      <c r="C375" s="515"/>
      <c r="D375" s="515"/>
      <c r="E375" s="515"/>
      <c r="F375" s="515"/>
      <c r="G375" s="515"/>
      <c r="H375" s="515"/>
      <c r="I375" s="515"/>
      <c r="J375" s="515"/>
      <c r="K375" s="515"/>
      <c r="L375" s="515"/>
      <c r="M375" s="515"/>
      <c r="N375" s="143">
        <v>808</v>
      </c>
      <c r="O375" s="144">
        <v>1</v>
      </c>
      <c r="P375" s="144">
        <v>7</v>
      </c>
      <c r="Q375" s="145">
        <v>0</v>
      </c>
      <c r="R375" s="146">
        <v>0</v>
      </c>
      <c r="S375" s="500"/>
      <c r="T375" s="500"/>
      <c r="U375" s="164">
        <v>292</v>
      </c>
      <c r="V375" s="164">
        <v>0</v>
      </c>
      <c r="W375" s="164">
        <v>292</v>
      </c>
      <c r="X375" s="514"/>
      <c r="Y375" s="514"/>
      <c r="Z375" s="514"/>
      <c r="AA375" s="514"/>
      <c r="AB375" s="514"/>
      <c r="AC375" s="514"/>
      <c r="AD375" s="514"/>
      <c r="AE375" s="164"/>
      <c r="AF375" s="160"/>
      <c r="AG375" s="160">
        <f>+AG376</f>
        <v>0</v>
      </c>
      <c r="AH375" s="170">
        <f t="shared" si="11"/>
        <v>0</v>
      </c>
    </row>
    <row r="376" spans="1:34" ht="21.75" customHeight="1" x14ac:dyDescent="0.2">
      <c r="A376" s="141"/>
      <c r="B376" s="515" t="s">
        <v>375</v>
      </c>
      <c r="C376" s="515"/>
      <c r="D376" s="515"/>
      <c r="E376" s="515"/>
      <c r="F376" s="515"/>
      <c r="G376" s="515"/>
      <c r="H376" s="515"/>
      <c r="I376" s="515"/>
      <c r="J376" s="515"/>
      <c r="K376" s="515"/>
      <c r="L376" s="515"/>
      <c r="M376" s="515"/>
      <c r="N376" s="143">
        <v>808</v>
      </c>
      <c r="O376" s="144">
        <v>1</v>
      </c>
      <c r="P376" s="144">
        <v>7</v>
      </c>
      <c r="Q376" s="145" t="s">
        <v>376</v>
      </c>
      <c r="R376" s="146">
        <v>0</v>
      </c>
      <c r="S376" s="500"/>
      <c r="T376" s="500"/>
      <c r="U376" s="164">
        <v>292</v>
      </c>
      <c r="V376" s="164">
        <v>0</v>
      </c>
      <c r="W376" s="164">
        <v>292</v>
      </c>
      <c r="X376" s="514"/>
      <c r="Y376" s="514"/>
      <c r="Z376" s="514"/>
      <c r="AA376" s="514"/>
      <c r="AB376" s="514"/>
      <c r="AC376" s="514"/>
      <c r="AD376" s="514"/>
      <c r="AE376" s="164"/>
      <c r="AF376" s="160"/>
      <c r="AG376" s="160">
        <f>+AG377</f>
        <v>0</v>
      </c>
      <c r="AH376" s="170">
        <f t="shared" si="11"/>
        <v>0</v>
      </c>
    </row>
    <row r="377" spans="1:34" ht="21.75" customHeight="1" x14ac:dyDescent="0.2">
      <c r="A377" s="141"/>
      <c r="B377" s="515" t="s">
        <v>377</v>
      </c>
      <c r="C377" s="515"/>
      <c r="D377" s="515"/>
      <c r="E377" s="515"/>
      <c r="F377" s="515"/>
      <c r="G377" s="515"/>
      <c r="H377" s="515"/>
      <c r="I377" s="515"/>
      <c r="J377" s="515"/>
      <c r="K377" s="515"/>
      <c r="L377" s="515"/>
      <c r="M377" s="515"/>
      <c r="N377" s="143">
        <v>808</v>
      </c>
      <c r="O377" s="144">
        <v>1</v>
      </c>
      <c r="P377" s="144">
        <v>7</v>
      </c>
      <c r="Q377" s="145" t="s">
        <v>378</v>
      </c>
      <c r="R377" s="146">
        <v>0</v>
      </c>
      <c r="S377" s="500"/>
      <c r="T377" s="500"/>
      <c r="U377" s="164">
        <v>292</v>
      </c>
      <c r="V377" s="164">
        <v>0</v>
      </c>
      <c r="W377" s="164">
        <v>292</v>
      </c>
      <c r="X377" s="514"/>
      <c r="Y377" s="514"/>
      <c r="Z377" s="514"/>
      <c r="AA377" s="514"/>
      <c r="AB377" s="514"/>
      <c r="AC377" s="514"/>
      <c r="AD377" s="514"/>
      <c r="AE377" s="164"/>
      <c r="AF377" s="160"/>
      <c r="AG377" s="160">
        <f>+AG378</f>
        <v>0</v>
      </c>
      <c r="AH377" s="170">
        <f t="shared" si="11"/>
        <v>0</v>
      </c>
    </row>
    <row r="378" spans="1:34" ht="12" customHeight="1" x14ac:dyDescent="0.2">
      <c r="A378" s="141"/>
      <c r="B378" s="515" t="s">
        <v>29</v>
      </c>
      <c r="C378" s="515"/>
      <c r="D378" s="515"/>
      <c r="E378" s="515"/>
      <c r="F378" s="515"/>
      <c r="G378" s="515"/>
      <c r="H378" s="515"/>
      <c r="I378" s="515"/>
      <c r="J378" s="515"/>
      <c r="K378" s="515"/>
      <c r="L378" s="515"/>
      <c r="M378" s="515"/>
      <c r="N378" s="143">
        <v>808</v>
      </c>
      <c r="O378" s="144">
        <v>1</v>
      </c>
      <c r="P378" s="144">
        <v>7</v>
      </c>
      <c r="Q378" s="145" t="s">
        <v>378</v>
      </c>
      <c r="R378" s="146" t="s">
        <v>30</v>
      </c>
      <c r="S378" s="500"/>
      <c r="T378" s="500"/>
      <c r="U378" s="164">
        <v>292</v>
      </c>
      <c r="V378" s="164">
        <v>0</v>
      </c>
      <c r="W378" s="164">
        <v>292</v>
      </c>
      <c r="X378" s="514"/>
      <c r="Y378" s="514"/>
      <c r="Z378" s="514"/>
      <c r="AA378" s="514"/>
      <c r="AB378" s="514"/>
      <c r="AC378" s="514"/>
      <c r="AD378" s="514"/>
      <c r="AE378" s="164"/>
      <c r="AF378" s="160"/>
      <c r="AG378" s="160">
        <f>+AG379</f>
        <v>0</v>
      </c>
      <c r="AH378" s="170">
        <f t="shared" si="11"/>
        <v>0</v>
      </c>
    </row>
    <row r="379" spans="1:34" ht="12" customHeight="1" x14ac:dyDescent="0.2">
      <c r="A379" s="141"/>
      <c r="B379" s="515" t="s">
        <v>303</v>
      </c>
      <c r="C379" s="515"/>
      <c r="D379" s="515"/>
      <c r="E379" s="515"/>
      <c r="F379" s="515"/>
      <c r="G379" s="515"/>
      <c r="H379" s="515"/>
      <c r="I379" s="515"/>
      <c r="J379" s="515"/>
      <c r="K379" s="515"/>
      <c r="L379" s="515"/>
      <c r="M379" s="515"/>
      <c r="N379" s="143">
        <v>808</v>
      </c>
      <c r="O379" s="144">
        <v>1</v>
      </c>
      <c r="P379" s="144">
        <v>7</v>
      </c>
      <c r="Q379" s="145" t="s">
        <v>378</v>
      </c>
      <c r="R379" s="146" t="s">
        <v>304</v>
      </c>
      <c r="S379" s="500"/>
      <c r="T379" s="500"/>
      <c r="U379" s="164">
        <v>292</v>
      </c>
      <c r="V379" s="164">
        <v>0</v>
      </c>
      <c r="W379" s="164">
        <v>292</v>
      </c>
      <c r="X379" s="514"/>
      <c r="Y379" s="514"/>
      <c r="Z379" s="514"/>
      <c r="AA379" s="514"/>
      <c r="AB379" s="514"/>
      <c r="AC379" s="514"/>
      <c r="AD379" s="514"/>
      <c r="AE379" s="164"/>
      <c r="AF379" s="160"/>
      <c r="AG379" s="160"/>
      <c r="AH379" s="170">
        <f t="shared" si="11"/>
        <v>0</v>
      </c>
    </row>
    <row r="380" spans="1:34" ht="12" customHeight="1" x14ac:dyDescent="0.2">
      <c r="A380" s="141"/>
      <c r="B380" s="515" t="s">
        <v>530</v>
      </c>
      <c r="C380" s="515"/>
      <c r="D380" s="515"/>
      <c r="E380" s="515"/>
      <c r="F380" s="515"/>
      <c r="G380" s="515"/>
      <c r="H380" s="515"/>
      <c r="I380" s="515"/>
      <c r="J380" s="515"/>
      <c r="K380" s="515"/>
      <c r="L380" s="515"/>
      <c r="M380" s="515"/>
      <c r="N380" s="143">
        <v>991</v>
      </c>
      <c r="O380" s="144">
        <v>0</v>
      </c>
      <c r="P380" s="144">
        <v>0</v>
      </c>
      <c r="Q380" s="145">
        <v>0</v>
      </c>
      <c r="R380" s="146">
        <v>0</v>
      </c>
      <c r="S380" s="500"/>
      <c r="T380" s="500"/>
      <c r="U380" s="164">
        <v>38505.239000000001</v>
      </c>
      <c r="V380" s="164">
        <v>0</v>
      </c>
      <c r="W380" s="164">
        <v>38505.239000000001</v>
      </c>
      <c r="X380" s="514"/>
      <c r="Y380" s="514"/>
      <c r="Z380" s="514"/>
      <c r="AA380" s="514"/>
      <c r="AB380" s="514"/>
      <c r="AC380" s="514"/>
      <c r="AD380" s="514"/>
      <c r="AE380" s="164"/>
      <c r="AF380" s="160"/>
      <c r="AG380" s="160">
        <f>+AG381+AG468+AG479+AG498+AG519+AG527+AG540+AG547+AG571+AG585</f>
        <v>7490.3469399999994</v>
      </c>
      <c r="AH380" s="170">
        <f t="shared" si="11"/>
        <v>19.452799500867918</v>
      </c>
    </row>
    <row r="381" spans="1:34" ht="12" customHeight="1" x14ac:dyDescent="0.2">
      <c r="A381" s="141"/>
      <c r="B381" s="515" t="s">
        <v>328</v>
      </c>
      <c r="C381" s="515"/>
      <c r="D381" s="515"/>
      <c r="E381" s="515"/>
      <c r="F381" s="515"/>
      <c r="G381" s="515"/>
      <c r="H381" s="515"/>
      <c r="I381" s="515"/>
      <c r="J381" s="515"/>
      <c r="K381" s="515"/>
      <c r="L381" s="515"/>
      <c r="M381" s="515"/>
      <c r="N381" s="143">
        <v>991</v>
      </c>
      <c r="O381" s="144">
        <v>1</v>
      </c>
      <c r="P381" s="144">
        <v>0</v>
      </c>
      <c r="Q381" s="145">
        <v>0</v>
      </c>
      <c r="R381" s="146">
        <v>0</v>
      </c>
      <c r="S381" s="500"/>
      <c r="T381" s="500"/>
      <c r="U381" s="164">
        <v>24169.14</v>
      </c>
      <c r="V381" s="164">
        <v>0</v>
      </c>
      <c r="W381" s="164">
        <v>24169.14</v>
      </c>
      <c r="X381" s="514"/>
      <c r="Y381" s="514"/>
      <c r="Z381" s="514"/>
      <c r="AA381" s="514"/>
      <c r="AB381" s="514"/>
      <c r="AC381" s="514"/>
      <c r="AD381" s="514"/>
      <c r="AE381" s="164"/>
      <c r="AF381" s="160"/>
      <c r="AG381" s="160">
        <f>+AG382+AG389+AG415+AG421+AG426</f>
        <v>6510.6731</v>
      </c>
      <c r="AH381" s="170">
        <f t="shared" si="11"/>
        <v>26.937959315060446</v>
      </c>
    </row>
    <row r="382" spans="1:34" ht="21.75" customHeight="1" x14ac:dyDescent="0.2">
      <c r="A382" s="141"/>
      <c r="B382" s="515" t="s">
        <v>79</v>
      </c>
      <c r="C382" s="515"/>
      <c r="D382" s="515"/>
      <c r="E382" s="515"/>
      <c r="F382" s="515"/>
      <c r="G382" s="515"/>
      <c r="H382" s="515"/>
      <c r="I382" s="515"/>
      <c r="J382" s="515"/>
      <c r="K382" s="515"/>
      <c r="L382" s="515"/>
      <c r="M382" s="515"/>
      <c r="N382" s="143">
        <v>991</v>
      </c>
      <c r="O382" s="144">
        <v>1</v>
      </c>
      <c r="P382" s="144">
        <v>2</v>
      </c>
      <c r="Q382" s="145">
        <v>0</v>
      </c>
      <c r="R382" s="146">
        <v>0</v>
      </c>
      <c r="S382" s="500"/>
      <c r="T382" s="500"/>
      <c r="U382" s="164">
        <v>1058.002</v>
      </c>
      <c r="V382" s="164">
        <v>0</v>
      </c>
      <c r="W382" s="164">
        <v>1058.002</v>
      </c>
      <c r="X382" s="514"/>
      <c r="Y382" s="514"/>
      <c r="Z382" s="514"/>
      <c r="AA382" s="514"/>
      <c r="AB382" s="514"/>
      <c r="AC382" s="514"/>
      <c r="AD382" s="514"/>
      <c r="AE382" s="164"/>
      <c r="AF382" s="160"/>
      <c r="AG382" s="160">
        <f>+AG383</f>
        <v>222.28070000000002</v>
      </c>
      <c r="AH382" s="170">
        <f t="shared" si="11"/>
        <v>21.009478242952284</v>
      </c>
    </row>
    <row r="383" spans="1:34" ht="32.25" customHeight="1" x14ac:dyDescent="0.2">
      <c r="A383" s="141"/>
      <c r="B383" s="515" t="s">
        <v>329</v>
      </c>
      <c r="C383" s="515"/>
      <c r="D383" s="515"/>
      <c r="E383" s="515"/>
      <c r="F383" s="515"/>
      <c r="G383" s="515"/>
      <c r="H383" s="515"/>
      <c r="I383" s="515"/>
      <c r="J383" s="515"/>
      <c r="K383" s="515"/>
      <c r="L383" s="515"/>
      <c r="M383" s="515"/>
      <c r="N383" s="143">
        <v>991</v>
      </c>
      <c r="O383" s="144">
        <v>1</v>
      </c>
      <c r="P383" s="144">
        <v>2</v>
      </c>
      <c r="Q383" s="145" t="s">
        <v>330</v>
      </c>
      <c r="R383" s="146">
        <v>0</v>
      </c>
      <c r="S383" s="500"/>
      <c r="T383" s="500"/>
      <c r="U383" s="164">
        <v>1058.002</v>
      </c>
      <c r="V383" s="164">
        <v>0</v>
      </c>
      <c r="W383" s="164">
        <v>1058.002</v>
      </c>
      <c r="X383" s="514"/>
      <c r="Y383" s="514"/>
      <c r="Z383" s="514"/>
      <c r="AA383" s="514"/>
      <c r="AB383" s="514"/>
      <c r="AC383" s="514"/>
      <c r="AD383" s="514"/>
      <c r="AE383" s="164"/>
      <c r="AF383" s="160"/>
      <c r="AG383" s="160">
        <f>+AG384</f>
        <v>222.28070000000002</v>
      </c>
      <c r="AH383" s="170">
        <f t="shared" si="11"/>
        <v>21.009478242952284</v>
      </c>
    </row>
    <row r="384" spans="1:34" ht="21.75" customHeight="1" x14ac:dyDescent="0.2">
      <c r="A384" s="141"/>
      <c r="B384" s="515" t="s">
        <v>331</v>
      </c>
      <c r="C384" s="515"/>
      <c r="D384" s="515"/>
      <c r="E384" s="515"/>
      <c r="F384" s="515"/>
      <c r="G384" s="515"/>
      <c r="H384" s="515"/>
      <c r="I384" s="515"/>
      <c r="J384" s="515"/>
      <c r="K384" s="515"/>
      <c r="L384" s="515"/>
      <c r="M384" s="515"/>
      <c r="N384" s="143">
        <v>991</v>
      </c>
      <c r="O384" s="144">
        <v>1</v>
      </c>
      <c r="P384" s="144">
        <v>2</v>
      </c>
      <c r="Q384" s="145" t="s">
        <v>332</v>
      </c>
      <c r="R384" s="146">
        <v>0</v>
      </c>
      <c r="S384" s="500"/>
      <c r="T384" s="500"/>
      <c r="U384" s="164">
        <v>1058.002</v>
      </c>
      <c r="V384" s="164">
        <v>0</v>
      </c>
      <c r="W384" s="164">
        <v>1058.002</v>
      </c>
      <c r="X384" s="514"/>
      <c r="Y384" s="514"/>
      <c r="Z384" s="514"/>
      <c r="AA384" s="514"/>
      <c r="AB384" s="514"/>
      <c r="AC384" s="514"/>
      <c r="AD384" s="514"/>
      <c r="AE384" s="164"/>
      <c r="AF384" s="160"/>
      <c r="AG384" s="160">
        <f>+AG385</f>
        <v>222.28070000000002</v>
      </c>
      <c r="AH384" s="170">
        <f t="shared" si="11"/>
        <v>21.009478242952284</v>
      </c>
    </row>
    <row r="385" spans="1:34" ht="53.25" customHeight="1" x14ac:dyDescent="0.2">
      <c r="A385" s="141"/>
      <c r="B385" s="515" t="s">
        <v>17</v>
      </c>
      <c r="C385" s="515"/>
      <c r="D385" s="515"/>
      <c r="E385" s="515"/>
      <c r="F385" s="515"/>
      <c r="G385" s="515"/>
      <c r="H385" s="515"/>
      <c r="I385" s="515"/>
      <c r="J385" s="515"/>
      <c r="K385" s="515"/>
      <c r="L385" s="515"/>
      <c r="M385" s="515"/>
      <c r="N385" s="143">
        <v>991</v>
      </c>
      <c r="O385" s="144">
        <v>1</v>
      </c>
      <c r="P385" s="144">
        <v>2</v>
      </c>
      <c r="Q385" s="145" t="s">
        <v>332</v>
      </c>
      <c r="R385" s="146" t="s">
        <v>18</v>
      </c>
      <c r="S385" s="500"/>
      <c r="T385" s="500"/>
      <c r="U385" s="164">
        <v>1058.002</v>
      </c>
      <c r="V385" s="164">
        <v>0</v>
      </c>
      <c r="W385" s="164">
        <v>1058.002</v>
      </c>
      <c r="X385" s="514"/>
      <c r="Y385" s="514"/>
      <c r="Z385" s="514"/>
      <c r="AA385" s="514"/>
      <c r="AB385" s="514"/>
      <c r="AC385" s="514"/>
      <c r="AD385" s="514"/>
      <c r="AE385" s="164"/>
      <c r="AF385" s="160"/>
      <c r="AG385" s="160">
        <f>+AG386</f>
        <v>222.28070000000002</v>
      </c>
      <c r="AH385" s="170">
        <f t="shared" si="11"/>
        <v>21.009478242952284</v>
      </c>
    </row>
    <row r="386" spans="1:34" ht="21.75" customHeight="1" x14ac:dyDescent="0.2">
      <c r="A386" s="141"/>
      <c r="B386" s="515" t="s">
        <v>37</v>
      </c>
      <c r="C386" s="515"/>
      <c r="D386" s="515"/>
      <c r="E386" s="515"/>
      <c r="F386" s="515"/>
      <c r="G386" s="515"/>
      <c r="H386" s="515"/>
      <c r="I386" s="515"/>
      <c r="J386" s="515"/>
      <c r="K386" s="515"/>
      <c r="L386" s="515"/>
      <c r="M386" s="515"/>
      <c r="N386" s="143">
        <v>991</v>
      </c>
      <c r="O386" s="144">
        <v>1</v>
      </c>
      <c r="P386" s="144">
        <v>2</v>
      </c>
      <c r="Q386" s="145" t="s">
        <v>332</v>
      </c>
      <c r="R386" s="146" t="s">
        <v>38</v>
      </c>
      <c r="S386" s="500"/>
      <c r="T386" s="500"/>
      <c r="U386" s="164">
        <v>1058.002</v>
      </c>
      <c r="V386" s="164">
        <v>0</v>
      </c>
      <c r="W386" s="164">
        <v>1058.002</v>
      </c>
      <c r="X386" s="514"/>
      <c r="Y386" s="514"/>
      <c r="Z386" s="514"/>
      <c r="AA386" s="514"/>
      <c r="AB386" s="514"/>
      <c r="AC386" s="514"/>
      <c r="AD386" s="514"/>
      <c r="AE386" s="164"/>
      <c r="AF386" s="160"/>
      <c r="AG386" s="160">
        <f>+AG387+AG388</f>
        <v>222.28070000000002</v>
      </c>
      <c r="AH386" s="170">
        <f t="shared" si="11"/>
        <v>21.009478242952284</v>
      </c>
    </row>
    <row r="387" spans="1:34" ht="21.75" customHeight="1" x14ac:dyDescent="0.2">
      <c r="A387" s="141"/>
      <c r="B387" s="515" t="s">
        <v>333</v>
      </c>
      <c r="C387" s="515"/>
      <c r="D387" s="515"/>
      <c r="E387" s="515"/>
      <c r="F387" s="515"/>
      <c r="G387" s="515"/>
      <c r="H387" s="515"/>
      <c r="I387" s="515"/>
      <c r="J387" s="515"/>
      <c r="K387" s="515"/>
      <c r="L387" s="515"/>
      <c r="M387" s="515"/>
      <c r="N387" s="143">
        <v>991</v>
      </c>
      <c r="O387" s="144">
        <v>1</v>
      </c>
      <c r="P387" s="144">
        <v>2</v>
      </c>
      <c r="Q387" s="145" t="s">
        <v>332</v>
      </c>
      <c r="R387" s="146" t="s">
        <v>39</v>
      </c>
      <c r="S387" s="500"/>
      <c r="T387" s="500"/>
      <c r="U387" s="164">
        <v>812.59799999999996</v>
      </c>
      <c r="V387" s="164">
        <v>0</v>
      </c>
      <c r="W387" s="164">
        <v>812.59799999999996</v>
      </c>
      <c r="X387" s="514"/>
      <c r="Y387" s="514"/>
      <c r="Z387" s="514"/>
      <c r="AA387" s="514"/>
      <c r="AB387" s="514"/>
      <c r="AC387" s="514"/>
      <c r="AD387" s="514"/>
      <c r="AE387" s="164"/>
      <c r="AF387" s="160"/>
      <c r="AG387" s="160">
        <v>172.48571000000001</v>
      </c>
      <c r="AH387" s="170">
        <f t="shared" si="11"/>
        <v>21.226450225080544</v>
      </c>
    </row>
    <row r="388" spans="1:34" ht="32.25" customHeight="1" x14ac:dyDescent="0.2">
      <c r="A388" s="141"/>
      <c r="B388" s="515" t="s">
        <v>334</v>
      </c>
      <c r="C388" s="515"/>
      <c r="D388" s="515"/>
      <c r="E388" s="515"/>
      <c r="F388" s="515"/>
      <c r="G388" s="515"/>
      <c r="H388" s="515"/>
      <c r="I388" s="515"/>
      <c r="J388" s="515"/>
      <c r="K388" s="515"/>
      <c r="L388" s="515"/>
      <c r="M388" s="515"/>
      <c r="N388" s="143">
        <v>991</v>
      </c>
      <c r="O388" s="144">
        <v>1</v>
      </c>
      <c r="P388" s="144">
        <v>2</v>
      </c>
      <c r="Q388" s="145" t="s">
        <v>332</v>
      </c>
      <c r="R388" s="146" t="s">
        <v>41</v>
      </c>
      <c r="S388" s="500"/>
      <c r="T388" s="500"/>
      <c r="U388" s="164">
        <v>245.404</v>
      </c>
      <c r="V388" s="164">
        <v>0</v>
      </c>
      <c r="W388" s="164">
        <v>245.404</v>
      </c>
      <c r="X388" s="514"/>
      <c r="Y388" s="514"/>
      <c r="Z388" s="514"/>
      <c r="AA388" s="514"/>
      <c r="AB388" s="514"/>
      <c r="AC388" s="514"/>
      <c r="AD388" s="514"/>
      <c r="AE388" s="164"/>
      <c r="AF388" s="160"/>
      <c r="AG388" s="160">
        <v>49.794989999999999</v>
      </c>
      <c r="AH388" s="170">
        <f t="shared" si="11"/>
        <v>20.29102622614138</v>
      </c>
    </row>
    <row r="389" spans="1:34" ht="42.75" customHeight="1" x14ac:dyDescent="0.2">
      <c r="A389" s="141"/>
      <c r="B389" s="515" t="s">
        <v>80</v>
      </c>
      <c r="C389" s="515"/>
      <c r="D389" s="515"/>
      <c r="E389" s="515"/>
      <c r="F389" s="515"/>
      <c r="G389" s="515"/>
      <c r="H389" s="515"/>
      <c r="I389" s="515"/>
      <c r="J389" s="515"/>
      <c r="K389" s="515"/>
      <c r="L389" s="515"/>
      <c r="M389" s="515"/>
      <c r="N389" s="143">
        <v>991</v>
      </c>
      <c r="O389" s="144">
        <v>1</v>
      </c>
      <c r="P389" s="144">
        <v>4</v>
      </c>
      <c r="Q389" s="145">
        <v>0</v>
      </c>
      <c r="R389" s="146">
        <v>0</v>
      </c>
      <c r="S389" s="500"/>
      <c r="T389" s="500"/>
      <c r="U389" s="164">
        <v>17919.289000000001</v>
      </c>
      <c r="V389" s="164">
        <v>0</v>
      </c>
      <c r="W389" s="164">
        <v>17919.289000000001</v>
      </c>
      <c r="X389" s="514"/>
      <c r="Y389" s="514"/>
      <c r="Z389" s="514"/>
      <c r="AA389" s="514"/>
      <c r="AB389" s="514"/>
      <c r="AC389" s="514"/>
      <c r="AD389" s="514"/>
      <c r="AE389" s="164"/>
      <c r="AF389" s="160"/>
      <c r="AG389" s="160">
        <f>+AG390+AG395</f>
        <v>4851.4750100000001</v>
      </c>
      <c r="AH389" s="170">
        <f t="shared" si="11"/>
        <v>27.0740374241411</v>
      </c>
    </row>
    <row r="390" spans="1:34" ht="32.25" customHeight="1" x14ac:dyDescent="0.2">
      <c r="A390" s="141"/>
      <c r="B390" s="515" t="s">
        <v>156</v>
      </c>
      <c r="C390" s="515"/>
      <c r="D390" s="515"/>
      <c r="E390" s="515"/>
      <c r="F390" s="515"/>
      <c r="G390" s="515"/>
      <c r="H390" s="515"/>
      <c r="I390" s="515"/>
      <c r="J390" s="515"/>
      <c r="K390" s="515"/>
      <c r="L390" s="515"/>
      <c r="M390" s="515"/>
      <c r="N390" s="143">
        <v>991</v>
      </c>
      <c r="O390" s="144">
        <v>1</v>
      </c>
      <c r="P390" s="144">
        <v>4</v>
      </c>
      <c r="Q390" s="145" t="s">
        <v>445</v>
      </c>
      <c r="R390" s="146">
        <v>0</v>
      </c>
      <c r="S390" s="500"/>
      <c r="T390" s="500"/>
      <c r="U390" s="164">
        <v>55</v>
      </c>
      <c r="V390" s="164">
        <v>0</v>
      </c>
      <c r="W390" s="164">
        <v>55</v>
      </c>
      <c r="X390" s="514"/>
      <c r="Y390" s="514"/>
      <c r="Z390" s="514"/>
      <c r="AA390" s="514"/>
      <c r="AB390" s="514"/>
      <c r="AC390" s="514"/>
      <c r="AD390" s="514"/>
      <c r="AE390" s="164"/>
      <c r="AF390" s="160"/>
      <c r="AG390" s="160">
        <f>+AG391</f>
        <v>0</v>
      </c>
      <c r="AH390" s="170">
        <f t="shared" si="11"/>
        <v>0</v>
      </c>
    </row>
    <row r="391" spans="1:34" ht="21.75" customHeight="1" x14ac:dyDescent="0.2">
      <c r="A391" s="141"/>
      <c r="B391" s="515" t="s">
        <v>25</v>
      </c>
      <c r="C391" s="515"/>
      <c r="D391" s="515"/>
      <c r="E391" s="515"/>
      <c r="F391" s="515"/>
      <c r="G391" s="515"/>
      <c r="H391" s="515"/>
      <c r="I391" s="515"/>
      <c r="J391" s="515"/>
      <c r="K391" s="515"/>
      <c r="L391" s="515"/>
      <c r="M391" s="515"/>
      <c r="N391" s="143">
        <v>991</v>
      </c>
      <c r="O391" s="144">
        <v>1</v>
      </c>
      <c r="P391" s="144">
        <v>4</v>
      </c>
      <c r="Q391" s="145" t="s">
        <v>446</v>
      </c>
      <c r="R391" s="146">
        <v>0</v>
      </c>
      <c r="S391" s="500"/>
      <c r="T391" s="500"/>
      <c r="U391" s="164">
        <v>55</v>
      </c>
      <c r="V391" s="164">
        <v>0</v>
      </c>
      <c r="W391" s="164">
        <v>55</v>
      </c>
      <c r="X391" s="514"/>
      <c r="Y391" s="514"/>
      <c r="Z391" s="514"/>
      <c r="AA391" s="514"/>
      <c r="AB391" s="514"/>
      <c r="AC391" s="514"/>
      <c r="AD391" s="514"/>
      <c r="AE391" s="164"/>
      <c r="AF391" s="160"/>
      <c r="AG391" s="160">
        <f>+AG392</f>
        <v>0</v>
      </c>
      <c r="AH391" s="170">
        <f t="shared" si="11"/>
        <v>0</v>
      </c>
    </row>
    <row r="392" spans="1:34" ht="21.75" customHeight="1" x14ac:dyDescent="0.2">
      <c r="A392" s="141"/>
      <c r="B392" s="515" t="s">
        <v>345</v>
      </c>
      <c r="C392" s="515"/>
      <c r="D392" s="515"/>
      <c r="E392" s="515"/>
      <c r="F392" s="515"/>
      <c r="G392" s="515"/>
      <c r="H392" s="515"/>
      <c r="I392" s="515"/>
      <c r="J392" s="515"/>
      <c r="K392" s="515"/>
      <c r="L392" s="515"/>
      <c r="M392" s="515"/>
      <c r="N392" s="143">
        <v>991</v>
      </c>
      <c r="O392" s="144">
        <v>1</v>
      </c>
      <c r="P392" s="144">
        <v>4</v>
      </c>
      <c r="Q392" s="145" t="s">
        <v>446</v>
      </c>
      <c r="R392" s="146" t="s">
        <v>24</v>
      </c>
      <c r="S392" s="500"/>
      <c r="T392" s="500"/>
      <c r="U392" s="164">
        <v>55</v>
      </c>
      <c r="V392" s="164">
        <v>0</v>
      </c>
      <c r="W392" s="164">
        <v>55</v>
      </c>
      <c r="X392" s="514"/>
      <c r="Y392" s="514"/>
      <c r="Z392" s="514"/>
      <c r="AA392" s="514"/>
      <c r="AB392" s="514"/>
      <c r="AC392" s="514"/>
      <c r="AD392" s="514"/>
      <c r="AE392" s="164"/>
      <c r="AF392" s="160"/>
      <c r="AG392" s="160">
        <f>+AG393</f>
        <v>0</v>
      </c>
      <c r="AH392" s="170">
        <f t="shared" si="11"/>
        <v>0</v>
      </c>
    </row>
    <row r="393" spans="1:34" ht="21.75" customHeight="1" x14ac:dyDescent="0.2">
      <c r="A393" s="141"/>
      <c r="B393" s="515" t="s">
        <v>346</v>
      </c>
      <c r="C393" s="515"/>
      <c r="D393" s="515"/>
      <c r="E393" s="515"/>
      <c r="F393" s="515"/>
      <c r="G393" s="515"/>
      <c r="H393" s="515"/>
      <c r="I393" s="515"/>
      <c r="J393" s="515"/>
      <c r="K393" s="515"/>
      <c r="L393" s="515"/>
      <c r="M393" s="515"/>
      <c r="N393" s="143">
        <v>991</v>
      </c>
      <c r="O393" s="144">
        <v>1</v>
      </c>
      <c r="P393" s="144">
        <v>4</v>
      </c>
      <c r="Q393" s="145" t="s">
        <v>446</v>
      </c>
      <c r="R393" s="146" t="s">
        <v>26</v>
      </c>
      <c r="S393" s="500"/>
      <c r="T393" s="500"/>
      <c r="U393" s="164">
        <v>55</v>
      </c>
      <c r="V393" s="164">
        <v>0</v>
      </c>
      <c r="W393" s="164">
        <v>55</v>
      </c>
      <c r="X393" s="514"/>
      <c r="Y393" s="514"/>
      <c r="Z393" s="514"/>
      <c r="AA393" s="514"/>
      <c r="AB393" s="514"/>
      <c r="AC393" s="514"/>
      <c r="AD393" s="514"/>
      <c r="AE393" s="164"/>
      <c r="AF393" s="160"/>
      <c r="AG393" s="160">
        <f>+AG394</f>
        <v>0</v>
      </c>
      <c r="AH393" s="170">
        <f t="shared" si="11"/>
        <v>0</v>
      </c>
    </row>
    <row r="394" spans="1:34" ht="12" customHeight="1" x14ac:dyDescent="0.2">
      <c r="A394" s="141"/>
      <c r="B394" s="515" t="s">
        <v>348</v>
      </c>
      <c r="C394" s="515"/>
      <c r="D394" s="515"/>
      <c r="E394" s="515"/>
      <c r="F394" s="515"/>
      <c r="G394" s="515"/>
      <c r="H394" s="515"/>
      <c r="I394" s="515"/>
      <c r="J394" s="515"/>
      <c r="K394" s="515"/>
      <c r="L394" s="515"/>
      <c r="M394" s="515"/>
      <c r="N394" s="143">
        <v>991</v>
      </c>
      <c r="O394" s="144">
        <v>1</v>
      </c>
      <c r="P394" s="144">
        <v>4</v>
      </c>
      <c r="Q394" s="145" t="s">
        <v>446</v>
      </c>
      <c r="R394" s="146" t="s">
        <v>28</v>
      </c>
      <c r="S394" s="500"/>
      <c r="T394" s="500"/>
      <c r="U394" s="164">
        <v>55</v>
      </c>
      <c r="V394" s="164">
        <v>0</v>
      </c>
      <c r="W394" s="164">
        <v>55</v>
      </c>
      <c r="X394" s="514"/>
      <c r="Y394" s="514"/>
      <c r="Z394" s="514"/>
      <c r="AA394" s="514"/>
      <c r="AB394" s="514"/>
      <c r="AC394" s="514"/>
      <c r="AD394" s="514"/>
      <c r="AE394" s="164"/>
      <c r="AF394" s="160"/>
      <c r="AG394" s="160"/>
      <c r="AH394" s="170">
        <f t="shared" si="11"/>
        <v>0</v>
      </c>
    </row>
    <row r="395" spans="1:34" ht="32.25" customHeight="1" x14ac:dyDescent="0.2">
      <c r="A395" s="141"/>
      <c r="B395" s="515" t="s">
        <v>329</v>
      </c>
      <c r="C395" s="515"/>
      <c r="D395" s="515"/>
      <c r="E395" s="515"/>
      <c r="F395" s="515"/>
      <c r="G395" s="515"/>
      <c r="H395" s="515"/>
      <c r="I395" s="515"/>
      <c r="J395" s="515"/>
      <c r="K395" s="515"/>
      <c r="L395" s="515"/>
      <c r="M395" s="515"/>
      <c r="N395" s="143">
        <v>991</v>
      </c>
      <c r="O395" s="144">
        <v>1</v>
      </c>
      <c r="P395" s="144">
        <v>4</v>
      </c>
      <c r="Q395" s="145" t="s">
        <v>330</v>
      </c>
      <c r="R395" s="146">
        <v>0</v>
      </c>
      <c r="S395" s="500"/>
      <c r="T395" s="500"/>
      <c r="U395" s="164">
        <v>17864.289000000001</v>
      </c>
      <c r="V395" s="164">
        <v>0</v>
      </c>
      <c r="W395" s="164">
        <v>17864.289000000001</v>
      </c>
      <c r="X395" s="514"/>
      <c r="Y395" s="514"/>
      <c r="Z395" s="514"/>
      <c r="AA395" s="514"/>
      <c r="AB395" s="514"/>
      <c r="AC395" s="514"/>
      <c r="AD395" s="514"/>
      <c r="AE395" s="164"/>
      <c r="AF395" s="160"/>
      <c r="AG395" s="160">
        <f>+AG396+AG401+AG411</f>
        <v>4851.4750100000001</v>
      </c>
      <c r="AH395" s="170">
        <f t="shared" si="11"/>
        <v>27.157392102198973</v>
      </c>
    </row>
    <row r="396" spans="1:34" ht="21.75" customHeight="1" x14ac:dyDescent="0.2">
      <c r="A396" s="141"/>
      <c r="B396" s="515" t="s">
        <v>352</v>
      </c>
      <c r="C396" s="515"/>
      <c r="D396" s="515"/>
      <c r="E396" s="515"/>
      <c r="F396" s="515"/>
      <c r="G396" s="515"/>
      <c r="H396" s="515"/>
      <c r="I396" s="515"/>
      <c r="J396" s="515"/>
      <c r="K396" s="515"/>
      <c r="L396" s="515"/>
      <c r="M396" s="515"/>
      <c r="N396" s="143">
        <v>991</v>
      </c>
      <c r="O396" s="144">
        <v>1</v>
      </c>
      <c r="P396" s="144">
        <v>4</v>
      </c>
      <c r="Q396" s="145" t="s">
        <v>353</v>
      </c>
      <c r="R396" s="146">
        <v>0</v>
      </c>
      <c r="S396" s="500"/>
      <c r="T396" s="500"/>
      <c r="U396" s="164">
        <v>12458.701999999999</v>
      </c>
      <c r="V396" s="164">
        <v>0</v>
      </c>
      <c r="W396" s="164">
        <v>12458.701999999999</v>
      </c>
      <c r="X396" s="514"/>
      <c r="Y396" s="514"/>
      <c r="Z396" s="514"/>
      <c r="AA396" s="514"/>
      <c r="AB396" s="514"/>
      <c r="AC396" s="514"/>
      <c r="AD396" s="514"/>
      <c r="AE396" s="164"/>
      <c r="AF396" s="160"/>
      <c r="AG396" s="160">
        <f>+AG397</f>
        <v>3416.7050300000001</v>
      </c>
      <c r="AH396" s="170">
        <f t="shared" si="11"/>
        <v>27.424245559449133</v>
      </c>
    </row>
    <row r="397" spans="1:34" ht="53.25" customHeight="1" x14ac:dyDescent="0.2">
      <c r="A397" s="141"/>
      <c r="B397" s="515" t="s">
        <v>17</v>
      </c>
      <c r="C397" s="515"/>
      <c r="D397" s="515"/>
      <c r="E397" s="515"/>
      <c r="F397" s="515"/>
      <c r="G397" s="515"/>
      <c r="H397" s="515"/>
      <c r="I397" s="515"/>
      <c r="J397" s="515"/>
      <c r="K397" s="515"/>
      <c r="L397" s="515"/>
      <c r="M397" s="515"/>
      <c r="N397" s="143">
        <v>991</v>
      </c>
      <c r="O397" s="144">
        <v>1</v>
      </c>
      <c r="P397" s="144">
        <v>4</v>
      </c>
      <c r="Q397" s="145" t="s">
        <v>353</v>
      </c>
      <c r="R397" s="146" t="s">
        <v>18</v>
      </c>
      <c r="S397" s="500"/>
      <c r="T397" s="500"/>
      <c r="U397" s="164">
        <v>12458.701999999999</v>
      </c>
      <c r="V397" s="164">
        <v>0</v>
      </c>
      <c r="W397" s="164">
        <v>12458.701999999999</v>
      </c>
      <c r="X397" s="514"/>
      <c r="Y397" s="514"/>
      <c r="Z397" s="514"/>
      <c r="AA397" s="514"/>
      <c r="AB397" s="514"/>
      <c r="AC397" s="514"/>
      <c r="AD397" s="514"/>
      <c r="AE397" s="164"/>
      <c r="AF397" s="160"/>
      <c r="AG397" s="160">
        <f>+AG398</f>
        <v>3416.7050300000001</v>
      </c>
      <c r="AH397" s="170">
        <f t="shared" si="11"/>
        <v>27.424245559449133</v>
      </c>
    </row>
    <row r="398" spans="1:34" ht="21.75" customHeight="1" x14ac:dyDescent="0.2">
      <c r="A398" s="141"/>
      <c r="B398" s="515" t="s">
        <v>37</v>
      </c>
      <c r="C398" s="515"/>
      <c r="D398" s="515"/>
      <c r="E398" s="515"/>
      <c r="F398" s="515"/>
      <c r="G398" s="515"/>
      <c r="H398" s="515"/>
      <c r="I398" s="515"/>
      <c r="J398" s="515"/>
      <c r="K398" s="515"/>
      <c r="L398" s="515"/>
      <c r="M398" s="515"/>
      <c r="N398" s="143">
        <v>991</v>
      </c>
      <c r="O398" s="144">
        <v>1</v>
      </c>
      <c r="P398" s="144">
        <v>4</v>
      </c>
      <c r="Q398" s="145" t="s">
        <v>353</v>
      </c>
      <c r="R398" s="146" t="s">
        <v>38</v>
      </c>
      <c r="S398" s="500"/>
      <c r="T398" s="500"/>
      <c r="U398" s="164">
        <v>12458.701999999999</v>
      </c>
      <c r="V398" s="164">
        <v>0</v>
      </c>
      <c r="W398" s="164">
        <v>12458.701999999999</v>
      </c>
      <c r="X398" s="514"/>
      <c r="Y398" s="514"/>
      <c r="Z398" s="514"/>
      <c r="AA398" s="514"/>
      <c r="AB398" s="514"/>
      <c r="AC398" s="514"/>
      <c r="AD398" s="514"/>
      <c r="AE398" s="164"/>
      <c r="AF398" s="160"/>
      <c r="AG398" s="160">
        <f>+AG399+AG400</f>
        <v>3416.7050300000001</v>
      </c>
      <c r="AH398" s="170">
        <f t="shared" si="11"/>
        <v>27.424245559449133</v>
      </c>
    </row>
    <row r="399" spans="1:34" ht="21.75" customHeight="1" x14ac:dyDescent="0.2">
      <c r="A399" s="141"/>
      <c r="B399" s="515" t="s">
        <v>333</v>
      </c>
      <c r="C399" s="515"/>
      <c r="D399" s="515"/>
      <c r="E399" s="515"/>
      <c r="F399" s="515"/>
      <c r="G399" s="515"/>
      <c r="H399" s="515"/>
      <c r="I399" s="515"/>
      <c r="J399" s="515"/>
      <c r="K399" s="515"/>
      <c r="L399" s="515"/>
      <c r="M399" s="515"/>
      <c r="N399" s="143">
        <v>991</v>
      </c>
      <c r="O399" s="144">
        <v>1</v>
      </c>
      <c r="P399" s="144">
        <v>4</v>
      </c>
      <c r="Q399" s="145" t="s">
        <v>353</v>
      </c>
      <c r="R399" s="146" t="s">
        <v>39</v>
      </c>
      <c r="S399" s="500"/>
      <c r="T399" s="500"/>
      <c r="U399" s="164">
        <v>9568.8960000000006</v>
      </c>
      <c r="V399" s="164">
        <v>0</v>
      </c>
      <c r="W399" s="164">
        <v>9568.8960000000006</v>
      </c>
      <c r="X399" s="514"/>
      <c r="Y399" s="514"/>
      <c r="Z399" s="514"/>
      <c r="AA399" s="514"/>
      <c r="AB399" s="514"/>
      <c r="AC399" s="514"/>
      <c r="AD399" s="514"/>
      <c r="AE399" s="164"/>
      <c r="AF399" s="160"/>
      <c r="AG399" s="160">
        <v>2632.11742</v>
      </c>
      <c r="AH399" s="170">
        <f t="shared" si="11"/>
        <v>27.507012512206213</v>
      </c>
    </row>
    <row r="400" spans="1:34" ht="32.25" customHeight="1" x14ac:dyDescent="0.2">
      <c r="A400" s="141"/>
      <c r="B400" s="515" t="s">
        <v>334</v>
      </c>
      <c r="C400" s="515"/>
      <c r="D400" s="515"/>
      <c r="E400" s="515"/>
      <c r="F400" s="515"/>
      <c r="G400" s="515"/>
      <c r="H400" s="515"/>
      <c r="I400" s="515"/>
      <c r="J400" s="515"/>
      <c r="K400" s="515"/>
      <c r="L400" s="515"/>
      <c r="M400" s="515"/>
      <c r="N400" s="143">
        <v>991</v>
      </c>
      <c r="O400" s="144">
        <v>1</v>
      </c>
      <c r="P400" s="144">
        <v>4</v>
      </c>
      <c r="Q400" s="145" t="s">
        <v>353</v>
      </c>
      <c r="R400" s="146" t="s">
        <v>41</v>
      </c>
      <c r="S400" s="500"/>
      <c r="T400" s="500"/>
      <c r="U400" s="164">
        <v>2889.806</v>
      </c>
      <c r="V400" s="164">
        <v>0</v>
      </c>
      <c r="W400" s="164">
        <v>2889.806</v>
      </c>
      <c r="X400" s="514"/>
      <c r="Y400" s="514"/>
      <c r="Z400" s="514"/>
      <c r="AA400" s="514"/>
      <c r="AB400" s="514"/>
      <c r="AC400" s="514"/>
      <c r="AD400" s="514"/>
      <c r="AE400" s="164"/>
      <c r="AF400" s="160"/>
      <c r="AG400" s="160">
        <v>784.58761000000004</v>
      </c>
      <c r="AH400" s="170">
        <f t="shared" si="11"/>
        <v>27.15018274583138</v>
      </c>
    </row>
    <row r="401" spans="1:34" ht="32.25" customHeight="1" x14ac:dyDescent="0.2">
      <c r="A401" s="141"/>
      <c r="B401" s="515" t="s">
        <v>354</v>
      </c>
      <c r="C401" s="515"/>
      <c r="D401" s="515"/>
      <c r="E401" s="515"/>
      <c r="F401" s="515"/>
      <c r="G401" s="515"/>
      <c r="H401" s="515"/>
      <c r="I401" s="515"/>
      <c r="J401" s="515"/>
      <c r="K401" s="515"/>
      <c r="L401" s="515"/>
      <c r="M401" s="515"/>
      <c r="N401" s="143">
        <v>991</v>
      </c>
      <c r="O401" s="144">
        <v>1</v>
      </c>
      <c r="P401" s="144">
        <v>4</v>
      </c>
      <c r="Q401" s="145" t="s">
        <v>355</v>
      </c>
      <c r="R401" s="146">
        <v>0</v>
      </c>
      <c r="S401" s="500"/>
      <c r="T401" s="500"/>
      <c r="U401" s="164">
        <v>5383.1869999999999</v>
      </c>
      <c r="V401" s="164">
        <v>0</v>
      </c>
      <c r="W401" s="164">
        <v>5383.1869999999999</v>
      </c>
      <c r="X401" s="514"/>
      <c r="Y401" s="514"/>
      <c r="Z401" s="514"/>
      <c r="AA401" s="514"/>
      <c r="AB401" s="514"/>
      <c r="AC401" s="514"/>
      <c r="AD401" s="514"/>
      <c r="AE401" s="164"/>
      <c r="AF401" s="160"/>
      <c r="AG401" s="160">
        <f>+AG402+AG406</f>
        <v>1434.76998</v>
      </c>
      <c r="AH401" s="170">
        <f t="shared" si="11"/>
        <v>26.652798425913872</v>
      </c>
    </row>
    <row r="402" spans="1:34" ht="21.75" customHeight="1" x14ac:dyDescent="0.2">
      <c r="A402" s="141"/>
      <c r="B402" s="515" t="s">
        <v>345</v>
      </c>
      <c r="C402" s="515"/>
      <c r="D402" s="515"/>
      <c r="E402" s="515"/>
      <c r="F402" s="515"/>
      <c r="G402" s="515"/>
      <c r="H402" s="515"/>
      <c r="I402" s="515"/>
      <c r="J402" s="515"/>
      <c r="K402" s="515"/>
      <c r="L402" s="515"/>
      <c r="M402" s="515"/>
      <c r="N402" s="143">
        <v>991</v>
      </c>
      <c r="O402" s="144">
        <v>1</v>
      </c>
      <c r="P402" s="144">
        <v>4</v>
      </c>
      <c r="Q402" s="145" t="s">
        <v>355</v>
      </c>
      <c r="R402" s="146" t="s">
        <v>24</v>
      </c>
      <c r="S402" s="500"/>
      <c r="T402" s="500"/>
      <c r="U402" s="164">
        <v>4926.1869999999999</v>
      </c>
      <c r="V402" s="164">
        <v>0</v>
      </c>
      <c r="W402" s="164">
        <v>4926.1869999999999</v>
      </c>
      <c r="X402" s="514"/>
      <c r="Y402" s="514"/>
      <c r="Z402" s="514"/>
      <c r="AA402" s="514"/>
      <c r="AB402" s="514"/>
      <c r="AC402" s="514"/>
      <c r="AD402" s="514"/>
      <c r="AE402" s="164"/>
      <c r="AF402" s="160"/>
      <c r="AG402" s="160">
        <f>+AG403</f>
        <v>1130.1740500000001</v>
      </c>
      <c r="AH402" s="170">
        <f t="shared" si="11"/>
        <v>22.942167035071957</v>
      </c>
    </row>
    <row r="403" spans="1:34" ht="21.75" customHeight="1" x14ac:dyDescent="0.2">
      <c r="A403" s="141"/>
      <c r="B403" s="515" t="s">
        <v>346</v>
      </c>
      <c r="C403" s="515"/>
      <c r="D403" s="515"/>
      <c r="E403" s="515"/>
      <c r="F403" s="515"/>
      <c r="G403" s="515"/>
      <c r="H403" s="515"/>
      <c r="I403" s="515"/>
      <c r="J403" s="515"/>
      <c r="K403" s="515"/>
      <c r="L403" s="515"/>
      <c r="M403" s="515"/>
      <c r="N403" s="143">
        <v>991</v>
      </c>
      <c r="O403" s="144">
        <v>1</v>
      </c>
      <c r="P403" s="144">
        <v>4</v>
      </c>
      <c r="Q403" s="145" t="s">
        <v>355</v>
      </c>
      <c r="R403" s="146" t="s">
        <v>26</v>
      </c>
      <c r="S403" s="500"/>
      <c r="T403" s="500"/>
      <c r="U403" s="164">
        <v>4926.1869999999999</v>
      </c>
      <c r="V403" s="164">
        <v>0</v>
      </c>
      <c r="W403" s="164">
        <v>4926.1869999999999</v>
      </c>
      <c r="X403" s="514"/>
      <c r="Y403" s="514"/>
      <c r="Z403" s="514"/>
      <c r="AA403" s="514"/>
      <c r="AB403" s="514"/>
      <c r="AC403" s="514"/>
      <c r="AD403" s="514"/>
      <c r="AE403" s="164"/>
      <c r="AF403" s="160"/>
      <c r="AG403" s="160">
        <f>+AG404+AG405</f>
        <v>1130.1740500000001</v>
      </c>
      <c r="AH403" s="170">
        <f t="shared" si="11"/>
        <v>22.942167035071957</v>
      </c>
    </row>
    <row r="404" spans="1:34" ht="21.75" customHeight="1" x14ac:dyDescent="0.2">
      <c r="A404" s="141"/>
      <c r="B404" s="515" t="s">
        <v>347</v>
      </c>
      <c r="C404" s="515"/>
      <c r="D404" s="515"/>
      <c r="E404" s="515"/>
      <c r="F404" s="515"/>
      <c r="G404" s="515"/>
      <c r="H404" s="515"/>
      <c r="I404" s="515"/>
      <c r="J404" s="515"/>
      <c r="K404" s="515"/>
      <c r="L404" s="515"/>
      <c r="M404" s="515"/>
      <c r="N404" s="143">
        <v>991</v>
      </c>
      <c r="O404" s="144">
        <v>1</v>
      </c>
      <c r="P404" s="144">
        <v>4</v>
      </c>
      <c r="Q404" s="145" t="s">
        <v>355</v>
      </c>
      <c r="R404" s="146" t="s">
        <v>27</v>
      </c>
      <c r="S404" s="500"/>
      <c r="T404" s="500"/>
      <c r="U404" s="164">
        <v>722.91600000000005</v>
      </c>
      <c r="V404" s="164">
        <v>0</v>
      </c>
      <c r="W404" s="164">
        <v>722.91600000000005</v>
      </c>
      <c r="X404" s="514"/>
      <c r="Y404" s="514"/>
      <c r="Z404" s="514"/>
      <c r="AA404" s="514"/>
      <c r="AB404" s="514"/>
      <c r="AC404" s="514"/>
      <c r="AD404" s="514"/>
      <c r="AE404" s="164"/>
      <c r="AF404" s="160"/>
      <c r="AG404" s="160">
        <v>88.169039999999995</v>
      </c>
      <c r="AH404" s="170">
        <f t="shared" si="11"/>
        <v>12.196304964892185</v>
      </c>
    </row>
    <row r="405" spans="1:34" ht="12" customHeight="1" x14ac:dyDescent="0.2">
      <c r="A405" s="141"/>
      <c r="B405" s="515" t="s">
        <v>348</v>
      </c>
      <c r="C405" s="515"/>
      <c r="D405" s="515"/>
      <c r="E405" s="515"/>
      <c r="F405" s="515"/>
      <c r="G405" s="515"/>
      <c r="H405" s="515"/>
      <c r="I405" s="515"/>
      <c r="J405" s="515"/>
      <c r="K405" s="515"/>
      <c r="L405" s="515"/>
      <c r="M405" s="515"/>
      <c r="N405" s="143">
        <v>991</v>
      </c>
      <c r="O405" s="144">
        <v>1</v>
      </c>
      <c r="P405" s="144">
        <v>4</v>
      </c>
      <c r="Q405" s="145" t="s">
        <v>355</v>
      </c>
      <c r="R405" s="146" t="s">
        <v>28</v>
      </c>
      <c r="S405" s="500"/>
      <c r="T405" s="500"/>
      <c r="U405" s="164">
        <v>4203.2709999999997</v>
      </c>
      <c r="V405" s="164">
        <v>0</v>
      </c>
      <c r="W405" s="164">
        <v>4203.2709999999997</v>
      </c>
      <c r="X405" s="514"/>
      <c r="Y405" s="514"/>
      <c r="Z405" s="514"/>
      <c r="AA405" s="514"/>
      <c r="AB405" s="514"/>
      <c r="AC405" s="514"/>
      <c r="AD405" s="514"/>
      <c r="AE405" s="164"/>
      <c r="AF405" s="160"/>
      <c r="AG405" s="160">
        <v>1042.0050100000001</v>
      </c>
      <c r="AH405" s="170">
        <f t="shared" si="11"/>
        <v>24.790336145349663</v>
      </c>
    </row>
    <row r="406" spans="1:34" ht="12" customHeight="1" x14ac:dyDescent="0.2">
      <c r="A406" s="141"/>
      <c r="B406" s="515" t="s">
        <v>29</v>
      </c>
      <c r="C406" s="515"/>
      <c r="D406" s="515"/>
      <c r="E406" s="515"/>
      <c r="F406" s="515"/>
      <c r="G406" s="515"/>
      <c r="H406" s="515"/>
      <c r="I406" s="515"/>
      <c r="J406" s="515"/>
      <c r="K406" s="515"/>
      <c r="L406" s="515"/>
      <c r="M406" s="515"/>
      <c r="N406" s="143">
        <v>991</v>
      </c>
      <c r="O406" s="144">
        <v>1</v>
      </c>
      <c r="P406" s="144">
        <v>4</v>
      </c>
      <c r="Q406" s="145" t="s">
        <v>355</v>
      </c>
      <c r="R406" s="146" t="s">
        <v>30</v>
      </c>
      <c r="S406" s="500"/>
      <c r="T406" s="500"/>
      <c r="U406" s="164">
        <v>457</v>
      </c>
      <c r="V406" s="164">
        <v>0</v>
      </c>
      <c r="W406" s="164">
        <v>457</v>
      </c>
      <c r="X406" s="514"/>
      <c r="Y406" s="514"/>
      <c r="Z406" s="514"/>
      <c r="AA406" s="514"/>
      <c r="AB406" s="514"/>
      <c r="AC406" s="514"/>
      <c r="AD406" s="514"/>
      <c r="AE406" s="164"/>
      <c r="AF406" s="160"/>
      <c r="AG406" s="160">
        <f>+AG407</f>
        <v>304.59593000000001</v>
      </c>
      <c r="AH406" s="170">
        <f t="shared" si="11"/>
        <v>66.651188183807449</v>
      </c>
    </row>
    <row r="407" spans="1:34" ht="12" customHeight="1" x14ac:dyDescent="0.2">
      <c r="A407" s="141"/>
      <c r="B407" s="515" t="s">
        <v>349</v>
      </c>
      <c r="C407" s="515"/>
      <c r="D407" s="515"/>
      <c r="E407" s="515"/>
      <c r="F407" s="515"/>
      <c r="G407" s="515"/>
      <c r="H407" s="515"/>
      <c r="I407" s="515"/>
      <c r="J407" s="515"/>
      <c r="K407" s="515"/>
      <c r="L407" s="515"/>
      <c r="M407" s="515"/>
      <c r="N407" s="143">
        <v>991</v>
      </c>
      <c r="O407" s="144">
        <v>1</v>
      </c>
      <c r="P407" s="144">
        <v>4</v>
      </c>
      <c r="Q407" s="145" t="s">
        <v>355</v>
      </c>
      <c r="R407" s="146" t="s">
        <v>31</v>
      </c>
      <c r="S407" s="500"/>
      <c r="T407" s="500"/>
      <c r="U407" s="164">
        <v>457</v>
      </c>
      <c r="V407" s="164">
        <v>0</v>
      </c>
      <c r="W407" s="164">
        <v>457</v>
      </c>
      <c r="X407" s="514"/>
      <c r="Y407" s="514"/>
      <c r="Z407" s="514"/>
      <c r="AA407" s="514"/>
      <c r="AB407" s="514"/>
      <c r="AC407" s="514"/>
      <c r="AD407" s="514"/>
      <c r="AE407" s="164"/>
      <c r="AF407" s="160"/>
      <c r="AG407" s="160">
        <f>+AG408+AG409+AG410</f>
        <v>304.59593000000001</v>
      </c>
      <c r="AH407" s="170">
        <f t="shared" ref="AH407:AH470" si="12">AG407/U407*100</f>
        <v>66.651188183807449</v>
      </c>
    </row>
    <row r="408" spans="1:34" ht="21.75" customHeight="1" x14ac:dyDescent="0.2">
      <c r="A408" s="141"/>
      <c r="B408" s="515" t="s">
        <v>32</v>
      </c>
      <c r="C408" s="515"/>
      <c r="D408" s="515"/>
      <c r="E408" s="515"/>
      <c r="F408" s="515"/>
      <c r="G408" s="515"/>
      <c r="H408" s="515"/>
      <c r="I408" s="515"/>
      <c r="J408" s="515"/>
      <c r="K408" s="515"/>
      <c r="L408" s="515"/>
      <c r="M408" s="515"/>
      <c r="N408" s="143">
        <v>991</v>
      </c>
      <c r="O408" s="144">
        <v>1</v>
      </c>
      <c r="P408" s="144">
        <v>4</v>
      </c>
      <c r="Q408" s="145" t="s">
        <v>355</v>
      </c>
      <c r="R408" s="146" t="s">
        <v>33</v>
      </c>
      <c r="S408" s="500"/>
      <c r="T408" s="500"/>
      <c r="U408" s="164">
        <v>145</v>
      </c>
      <c r="V408" s="164">
        <v>0</v>
      </c>
      <c r="W408" s="164">
        <v>145</v>
      </c>
      <c r="X408" s="514"/>
      <c r="Y408" s="514"/>
      <c r="Z408" s="514"/>
      <c r="AA408" s="514"/>
      <c r="AB408" s="514"/>
      <c r="AC408" s="514"/>
      <c r="AD408" s="514"/>
      <c r="AE408" s="164"/>
      <c r="AF408" s="160"/>
      <c r="AG408" s="160">
        <v>121.893</v>
      </c>
      <c r="AH408" s="170">
        <f t="shared" si="12"/>
        <v>84.064137931034494</v>
      </c>
    </row>
    <row r="409" spans="1:34" ht="12" customHeight="1" x14ac:dyDescent="0.2">
      <c r="A409" s="141"/>
      <c r="B409" s="515" t="s">
        <v>350</v>
      </c>
      <c r="C409" s="515"/>
      <c r="D409" s="515"/>
      <c r="E409" s="515"/>
      <c r="F409" s="515"/>
      <c r="G409" s="515"/>
      <c r="H409" s="515"/>
      <c r="I409" s="515"/>
      <c r="J409" s="515"/>
      <c r="K409" s="515"/>
      <c r="L409" s="515"/>
      <c r="M409" s="515"/>
      <c r="N409" s="143">
        <v>991</v>
      </c>
      <c r="O409" s="144">
        <v>1</v>
      </c>
      <c r="P409" s="144">
        <v>4</v>
      </c>
      <c r="Q409" s="145" t="s">
        <v>355</v>
      </c>
      <c r="R409" s="146" t="s">
        <v>34</v>
      </c>
      <c r="S409" s="500"/>
      <c r="T409" s="500"/>
      <c r="U409" s="164">
        <v>80</v>
      </c>
      <c r="V409" s="164">
        <v>0</v>
      </c>
      <c r="W409" s="164">
        <v>80</v>
      </c>
      <c r="X409" s="514"/>
      <c r="Y409" s="514"/>
      <c r="Z409" s="514"/>
      <c r="AA409" s="514"/>
      <c r="AB409" s="514"/>
      <c r="AC409" s="514"/>
      <c r="AD409" s="514"/>
      <c r="AE409" s="164"/>
      <c r="AF409" s="160"/>
      <c r="AG409" s="160">
        <v>39.603000000000002</v>
      </c>
      <c r="AH409" s="170">
        <f t="shared" si="12"/>
        <v>49.503750000000004</v>
      </c>
    </row>
    <row r="410" spans="1:34" ht="12" customHeight="1" x14ac:dyDescent="0.2">
      <c r="A410" s="141"/>
      <c r="B410" s="515" t="s">
        <v>81</v>
      </c>
      <c r="C410" s="515"/>
      <c r="D410" s="515"/>
      <c r="E410" s="515"/>
      <c r="F410" s="515"/>
      <c r="G410" s="515"/>
      <c r="H410" s="515"/>
      <c r="I410" s="515"/>
      <c r="J410" s="515"/>
      <c r="K410" s="515"/>
      <c r="L410" s="515"/>
      <c r="M410" s="515"/>
      <c r="N410" s="143">
        <v>991</v>
      </c>
      <c r="O410" s="144">
        <v>1</v>
      </c>
      <c r="P410" s="144">
        <v>4</v>
      </c>
      <c r="Q410" s="145" t="s">
        <v>355</v>
      </c>
      <c r="R410" s="146" t="s">
        <v>82</v>
      </c>
      <c r="S410" s="500"/>
      <c r="T410" s="500"/>
      <c r="U410" s="164">
        <v>232</v>
      </c>
      <c r="V410" s="164">
        <v>0</v>
      </c>
      <c r="W410" s="164">
        <v>232</v>
      </c>
      <c r="X410" s="514"/>
      <c r="Y410" s="514"/>
      <c r="Z410" s="514"/>
      <c r="AA410" s="514"/>
      <c r="AB410" s="514"/>
      <c r="AC410" s="514"/>
      <c r="AD410" s="514"/>
      <c r="AE410" s="164"/>
      <c r="AF410" s="160"/>
      <c r="AG410" s="160">
        <v>143.09993</v>
      </c>
      <c r="AH410" s="170">
        <f t="shared" si="12"/>
        <v>61.681004310344825</v>
      </c>
    </row>
    <row r="411" spans="1:34" ht="32.25" customHeight="1" x14ac:dyDescent="0.2">
      <c r="A411" s="141"/>
      <c r="B411" s="515" t="s">
        <v>544</v>
      </c>
      <c r="C411" s="515"/>
      <c r="D411" s="515"/>
      <c r="E411" s="515"/>
      <c r="F411" s="515"/>
      <c r="G411" s="515"/>
      <c r="H411" s="515"/>
      <c r="I411" s="515"/>
      <c r="J411" s="515"/>
      <c r="K411" s="515"/>
      <c r="L411" s="515"/>
      <c r="M411" s="515"/>
      <c r="N411" s="143">
        <v>991</v>
      </c>
      <c r="O411" s="144">
        <v>1</v>
      </c>
      <c r="P411" s="144">
        <v>4</v>
      </c>
      <c r="Q411" s="145" t="s">
        <v>545</v>
      </c>
      <c r="R411" s="146">
        <v>0</v>
      </c>
      <c r="S411" s="500"/>
      <c r="T411" s="500"/>
      <c r="U411" s="164">
        <v>22.4</v>
      </c>
      <c r="V411" s="164">
        <v>0</v>
      </c>
      <c r="W411" s="164">
        <v>22.4</v>
      </c>
      <c r="X411" s="514"/>
      <c r="Y411" s="514"/>
      <c r="Z411" s="514"/>
      <c r="AA411" s="514"/>
      <c r="AB411" s="514"/>
      <c r="AC411" s="514"/>
      <c r="AD411" s="514"/>
      <c r="AE411" s="164"/>
      <c r="AF411" s="160"/>
      <c r="AG411" s="160">
        <f>+AG412</f>
        <v>0</v>
      </c>
      <c r="AH411" s="170">
        <f t="shared" si="12"/>
        <v>0</v>
      </c>
    </row>
    <row r="412" spans="1:34" ht="53.25" customHeight="1" x14ac:dyDescent="0.2">
      <c r="A412" s="141"/>
      <c r="B412" s="515" t="s">
        <v>17</v>
      </c>
      <c r="C412" s="515"/>
      <c r="D412" s="515"/>
      <c r="E412" s="515"/>
      <c r="F412" s="515"/>
      <c r="G412" s="515"/>
      <c r="H412" s="515"/>
      <c r="I412" s="515"/>
      <c r="J412" s="515"/>
      <c r="K412" s="515"/>
      <c r="L412" s="515"/>
      <c r="M412" s="515"/>
      <c r="N412" s="143">
        <v>991</v>
      </c>
      <c r="O412" s="144">
        <v>1</v>
      </c>
      <c r="P412" s="144">
        <v>4</v>
      </c>
      <c r="Q412" s="145" t="s">
        <v>545</v>
      </c>
      <c r="R412" s="146" t="s">
        <v>18</v>
      </c>
      <c r="S412" s="500"/>
      <c r="T412" s="500"/>
      <c r="U412" s="164">
        <v>22.4</v>
      </c>
      <c r="V412" s="164">
        <v>0</v>
      </c>
      <c r="W412" s="164">
        <v>22.4</v>
      </c>
      <c r="X412" s="514"/>
      <c r="Y412" s="514"/>
      <c r="Z412" s="514"/>
      <c r="AA412" s="514"/>
      <c r="AB412" s="514"/>
      <c r="AC412" s="514"/>
      <c r="AD412" s="514"/>
      <c r="AE412" s="164"/>
      <c r="AF412" s="160"/>
      <c r="AG412" s="160">
        <f>+AG413</f>
        <v>0</v>
      </c>
      <c r="AH412" s="170">
        <f t="shared" si="12"/>
        <v>0</v>
      </c>
    </row>
    <row r="413" spans="1:34" ht="21.75" customHeight="1" x14ac:dyDescent="0.2">
      <c r="A413" s="141"/>
      <c r="B413" s="515" t="s">
        <v>37</v>
      </c>
      <c r="C413" s="515"/>
      <c r="D413" s="515"/>
      <c r="E413" s="515"/>
      <c r="F413" s="515"/>
      <c r="G413" s="515"/>
      <c r="H413" s="515"/>
      <c r="I413" s="515"/>
      <c r="J413" s="515"/>
      <c r="K413" s="515"/>
      <c r="L413" s="515"/>
      <c r="M413" s="515"/>
      <c r="N413" s="143">
        <v>991</v>
      </c>
      <c r="O413" s="144">
        <v>1</v>
      </c>
      <c r="P413" s="144">
        <v>4</v>
      </c>
      <c r="Q413" s="145" t="s">
        <v>545</v>
      </c>
      <c r="R413" s="146" t="s">
        <v>38</v>
      </c>
      <c r="S413" s="500"/>
      <c r="T413" s="500"/>
      <c r="U413" s="164">
        <v>22.4</v>
      </c>
      <c r="V413" s="164">
        <v>0</v>
      </c>
      <c r="W413" s="164">
        <v>22.4</v>
      </c>
      <c r="X413" s="514"/>
      <c r="Y413" s="514"/>
      <c r="Z413" s="514"/>
      <c r="AA413" s="514"/>
      <c r="AB413" s="514"/>
      <c r="AC413" s="514"/>
      <c r="AD413" s="514"/>
      <c r="AE413" s="164"/>
      <c r="AF413" s="160"/>
      <c r="AG413" s="160">
        <f>+AG414</f>
        <v>0</v>
      </c>
      <c r="AH413" s="170">
        <f t="shared" si="12"/>
        <v>0</v>
      </c>
    </row>
    <row r="414" spans="1:34" ht="32.25" customHeight="1" x14ac:dyDescent="0.2">
      <c r="A414" s="141"/>
      <c r="B414" s="515" t="s">
        <v>351</v>
      </c>
      <c r="C414" s="515"/>
      <c r="D414" s="515"/>
      <c r="E414" s="515"/>
      <c r="F414" s="515"/>
      <c r="G414" s="515"/>
      <c r="H414" s="515"/>
      <c r="I414" s="515"/>
      <c r="J414" s="515"/>
      <c r="K414" s="515"/>
      <c r="L414" s="515"/>
      <c r="M414" s="515"/>
      <c r="N414" s="143">
        <v>991</v>
      </c>
      <c r="O414" s="144">
        <v>1</v>
      </c>
      <c r="P414" s="144">
        <v>4</v>
      </c>
      <c r="Q414" s="145" t="s">
        <v>545</v>
      </c>
      <c r="R414" s="146" t="s">
        <v>40</v>
      </c>
      <c r="S414" s="500"/>
      <c r="T414" s="500"/>
      <c r="U414" s="164">
        <v>22.4</v>
      </c>
      <c r="V414" s="164">
        <v>0</v>
      </c>
      <c r="W414" s="164">
        <v>22.4</v>
      </c>
      <c r="X414" s="514"/>
      <c r="Y414" s="514"/>
      <c r="Z414" s="514"/>
      <c r="AA414" s="514"/>
      <c r="AB414" s="514"/>
      <c r="AC414" s="514"/>
      <c r="AD414" s="514"/>
      <c r="AE414" s="164"/>
      <c r="AF414" s="160"/>
      <c r="AG414" s="160"/>
      <c r="AH414" s="170">
        <f t="shared" si="12"/>
        <v>0</v>
      </c>
    </row>
    <row r="415" spans="1:34" ht="12" customHeight="1" x14ac:dyDescent="0.2">
      <c r="A415" s="141"/>
      <c r="B415" s="515" t="s">
        <v>356</v>
      </c>
      <c r="C415" s="515"/>
      <c r="D415" s="515"/>
      <c r="E415" s="515"/>
      <c r="F415" s="515"/>
      <c r="G415" s="515"/>
      <c r="H415" s="515"/>
      <c r="I415" s="515"/>
      <c r="J415" s="515"/>
      <c r="K415" s="515"/>
      <c r="L415" s="515"/>
      <c r="M415" s="515"/>
      <c r="N415" s="143">
        <v>991</v>
      </c>
      <c r="O415" s="144">
        <v>1</v>
      </c>
      <c r="P415" s="144">
        <v>5</v>
      </c>
      <c r="Q415" s="145">
        <v>0</v>
      </c>
      <c r="R415" s="146">
        <v>0</v>
      </c>
      <c r="S415" s="500"/>
      <c r="T415" s="500"/>
      <c r="U415" s="164">
        <v>18.600000000000001</v>
      </c>
      <c r="V415" s="164">
        <v>0</v>
      </c>
      <c r="W415" s="164">
        <v>18.600000000000001</v>
      </c>
      <c r="X415" s="514"/>
      <c r="Y415" s="514"/>
      <c r="Z415" s="514"/>
      <c r="AA415" s="514"/>
      <c r="AB415" s="514"/>
      <c r="AC415" s="514"/>
      <c r="AD415" s="514"/>
      <c r="AE415" s="164"/>
      <c r="AF415" s="160"/>
      <c r="AG415" s="160">
        <f>+AG416</f>
        <v>0</v>
      </c>
      <c r="AH415" s="170">
        <f t="shared" si="12"/>
        <v>0</v>
      </c>
    </row>
    <row r="416" spans="1:34" ht="32.25" customHeight="1" x14ac:dyDescent="0.2">
      <c r="A416" s="141"/>
      <c r="B416" s="515" t="s">
        <v>357</v>
      </c>
      <c r="C416" s="515"/>
      <c r="D416" s="515"/>
      <c r="E416" s="515"/>
      <c r="F416" s="515"/>
      <c r="G416" s="515"/>
      <c r="H416" s="515"/>
      <c r="I416" s="515"/>
      <c r="J416" s="515"/>
      <c r="K416" s="515"/>
      <c r="L416" s="515"/>
      <c r="M416" s="515"/>
      <c r="N416" s="143">
        <v>991</v>
      </c>
      <c r="O416" s="144">
        <v>1</v>
      </c>
      <c r="P416" s="144">
        <v>5</v>
      </c>
      <c r="Q416" s="145" t="s">
        <v>358</v>
      </c>
      <c r="R416" s="146">
        <v>0</v>
      </c>
      <c r="S416" s="500"/>
      <c r="T416" s="500"/>
      <c r="U416" s="164">
        <v>18.600000000000001</v>
      </c>
      <c r="V416" s="164">
        <v>0</v>
      </c>
      <c r="W416" s="164">
        <v>18.600000000000001</v>
      </c>
      <c r="X416" s="514"/>
      <c r="Y416" s="514"/>
      <c r="Z416" s="514"/>
      <c r="AA416" s="514"/>
      <c r="AB416" s="514"/>
      <c r="AC416" s="514"/>
      <c r="AD416" s="514"/>
      <c r="AE416" s="164"/>
      <c r="AF416" s="160"/>
      <c r="AG416" s="160">
        <f>+AG417</f>
        <v>0</v>
      </c>
      <c r="AH416" s="170">
        <f t="shared" si="12"/>
        <v>0</v>
      </c>
    </row>
    <row r="417" spans="1:34" ht="42.75" customHeight="1" x14ac:dyDescent="0.2">
      <c r="A417" s="141"/>
      <c r="B417" s="515" t="s">
        <v>359</v>
      </c>
      <c r="C417" s="515"/>
      <c r="D417" s="515"/>
      <c r="E417" s="515"/>
      <c r="F417" s="515"/>
      <c r="G417" s="515"/>
      <c r="H417" s="515"/>
      <c r="I417" s="515"/>
      <c r="J417" s="515"/>
      <c r="K417" s="515"/>
      <c r="L417" s="515"/>
      <c r="M417" s="515"/>
      <c r="N417" s="143">
        <v>991</v>
      </c>
      <c r="O417" s="144">
        <v>1</v>
      </c>
      <c r="P417" s="144">
        <v>5</v>
      </c>
      <c r="Q417" s="145" t="s">
        <v>360</v>
      </c>
      <c r="R417" s="146">
        <v>0</v>
      </c>
      <c r="S417" s="500"/>
      <c r="T417" s="500"/>
      <c r="U417" s="164">
        <v>18.600000000000001</v>
      </c>
      <c r="V417" s="164">
        <v>0</v>
      </c>
      <c r="W417" s="164">
        <v>18.600000000000001</v>
      </c>
      <c r="X417" s="514"/>
      <c r="Y417" s="514"/>
      <c r="Z417" s="514"/>
      <c r="AA417" s="514"/>
      <c r="AB417" s="514"/>
      <c r="AC417" s="514"/>
      <c r="AD417" s="514"/>
      <c r="AE417" s="164"/>
      <c r="AF417" s="160"/>
      <c r="AG417" s="160">
        <f>+AG418</f>
        <v>0</v>
      </c>
      <c r="AH417" s="170">
        <f t="shared" si="12"/>
        <v>0</v>
      </c>
    </row>
    <row r="418" spans="1:34" ht="21.75" customHeight="1" x14ac:dyDescent="0.2">
      <c r="A418" s="141"/>
      <c r="B418" s="515" t="s">
        <v>345</v>
      </c>
      <c r="C418" s="515"/>
      <c r="D418" s="515"/>
      <c r="E418" s="515"/>
      <c r="F418" s="515"/>
      <c r="G418" s="515"/>
      <c r="H418" s="515"/>
      <c r="I418" s="515"/>
      <c r="J418" s="515"/>
      <c r="K418" s="515"/>
      <c r="L418" s="515"/>
      <c r="M418" s="515"/>
      <c r="N418" s="143">
        <v>991</v>
      </c>
      <c r="O418" s="144">
        <v>1</v>
      </c>
      <c r="P418" s="144">
        <v>5</v>
      </c>
      <c r="Q418" s="145" t="s">
        <v>360</v>
      </c>
      <c r="R418" s="146" t="s">
        <v>24</v>
      </c>
      <c r="S418" s="500"/>
      <c r="T418" s="500"/>
      <c r="U418" s="164">
        <v>18.600000000000001</v>
      </c>
      <c r="V418" s="164">
        <v>0</v>
      </c>
      <c r="W418" s="164">
        <v>18.600000000000001</v>
      </c>
      <c r="X418" s="514"/>
      <c r="Y418" s="514"/>
      <c r="Z418" s="514"/>
      <c r="AA418" s="514"/>
      <c r="AB418" s="514"/>
      <c r="AC418" s="514"/>
      <c r="AD418" s="514"/>
      <c r="AE418" s="164"/>
      <c r="AF418" s="160"/>
      <c r="AG418" s="160">
        <f>+AG419</f>
        <v>0</v>
      </c>
      <c r="AH418" s="170">
        <f t="shared" si="12"/>
        <v>0</v>
      </c>
    </row>
    <row r="419" spans="1:34" ht="21.75" customHeight="1" x14ac:dyDescent="0.2">
      <c r="A419" s="141"/>
      <c r="B419" s="515" t="s">
        <v>346</v>
      </c>
      <c r="C419" s="515"/>
      <c r="D419" s="515"/>
      <c r="E419" s="515"/>
      <c r="F419" s="515"/>
      <c r="G419" s="515"/>
      <c r="H419" s="515"/>
      <c r="I419" s="515"/>
      <c r="J419" s="515"/>
      <c r="K419" s="515"/>
      <c r="L419" s="515"/>
      <c r="M419" s="515"/>
      <c r="N419" s="143">
        <v>991</v>
      </c>
      <c r="O419" s="144">
        <v>1</v>
      </c>
      <c r="P419" s="144">
        <v>5</v>
      </c>
      <c r="Q419" s="145" t="s">
        <v>360</v>
      </c>
      <c r="R419" s="146" t="s">
        <v>26</v>
      </c>
      <c r="S419" s="500"/>
      <c r="T419" s="500"/>
      <c r="U419" s="164">
        <v>18.600000000000001</v>
      </c>
      <c r="V419" s="164">
        <v>0</v>
      </c>
      <c r="W419" s="164">
        <v>18.600000000000001</v>
      </c>
      <c r="X419" s="514"/>
      <c r="Y419" s="514"/>
      <c r="Z419" s="514"/>
      <c r="AA419" s="514"/>
      <c r="AB419" s="514"/>
      <c r="AC419" s="514"/>
      <c r="AD419" s="514"/>
      <c r="AE419" s="164"/>
      <c r="AF419" s="160"/>
      <c r="AG419" s="160">
        <f>+AG420</f>
        <v>0</v>
      </c>
      <c r="AH419" s="170">
        <f t="shared" si="12"/>
        <v>0</v>
      </c>
    </row>
    <row r="420" spans="1:34" ht="12" customHeight="1" x14ac:dyDescent="0.2">
      <c r="A420" s="141"/>
      <c r="B420" s="515" t="s">
        <v>348</v>
      </c>
      <c r="C420" s="515"/>
      <c r="D420" s="515"/>
      <c r="E420" s="515"/>
      <c r="F420" s="515"/>
      <c r="G420" s="515"/>
      <c r="H420" s="515"/>
      <c r="I420" s="515"/>
      <c r="J420" s="515"/>
      <c r="K420" s="515"/>
      <c r="L420" s="515"/>
      <c r="M420" s="515"/>
      <c r="N420" s="143">
        <v>991</v>
      </c>
      <c r="O420" s="144">
        <v>1</v>
      </c>
      <c r="P420" s="144">
        <v>5</v>
      </c>
      <c r="Q420" s="145" t="s">
        <v>360</v>
      </c>
      <c r="R420" s="146" t="s">
        <v>28</v>
      </c>
      <c r="S420" s="500"/>
      <c r="T420" s="500"/>
      <c r="U420" s="164">
        <v>18.600000000000001</v>
      </c>
      <c r="V420" s="164">
        <v>0</v>
      </c>
      <c r="W420" s="164">
        <v>18.600000000000001</v>
      </c>
      <c r="X420" s="514"/>
      <c r="Y420" s="514"/>
      <c r="Z420" s="514"/>
      <c r="AA420" s="514"/>
      <c r="AB420" s="514"/>
      <c r="AC420" s="514"/>
      <c r="AD420" s="514"/>
      <c r="AE420" s="164"/>
      <c r="AF420" s="160"/>
      <c r="AG420" s="160"/>
      <c r="AH420" s="170">
        <f t="shared" si="12"/>
        <v>0</v>
      </c>
    </row>
    <row r="421" spans="1:34" ht="12" customHeight="1" x14ac:dyDescent="0.2">
      <c r="A421" s="141"/>
      <c r="B421" s="515" t="s">
        <v>84</v>
      </c>
      <c r="C421" s="515"/>
      <c r="D421" s="515"/>
      <c r="E421" s="515"/>
      <c r="F421" s="515"/>
      <c r="G421" s="515"/>
      <c r="H421" s="515"/>
      <c r="I421" s="515"/>
      <c r="J421" s="515"/>
      <c r="K421" s="515"/>
      <c r="L421" s="515"/>
      <c r="M421" s="515"/>
      <c r="N421" s="143">
        <v>991</v>
      </c>
      <c r="O421" s="144">
        <v>1</v>
      </c>
      <c r="P421" s="144">
        <v>11</v>
      </c>
      <c r="Q421" s="145">
        <v>0</v>
      </c>
      <c r="R421" s="146">
        <v>0</v>
      </c>
      <c r="S421" s="500"/>
      <c r="T421" s="500"/>
      <c r="U421" s="164">
        <v>100</v>
      </c>
      <c r="V421" s="164">
        <v>0</v>
      </c>
      <c r="W421" s="164">
        <v>100</v>
      </c>
      <c r="X421" s="514"/>
      <c r="Y421" s="514"/>
      <c r="Z421" s="514"/>
      <c r="AA421" s="514"/>
      <c r="AB421" s="514"/>
      <c r="AC421" s="514"/>
      <c r="AD421" s="514"/>
      <c r="AE421" s="164"/>
      <c r="AF421" s="160"/>
      <c r="AG421" s="160">
        <f>+AG422</f>
        <v>0</v>
      </c>
      <c r="AH421" s="170">
        <f t="shared" si="12"/>
        <v>0</v>
      </c>
    </row>
    <row r="422" spans="1:34" ht="21.75" customHeight="1" x14ac:dyDescent="0.2">
      <c r="A422" s="141"/>
      <c r="B422" s="515" t="s">
        <v>379</v>
      </c>
      <c r="C422" s="515"/>
      <c r="D422" s="515"/>
      <c r="E422" s="515"/>
      <c r="F422" s="515"/>
      <c r="G422" s="515"/>
      <c r="H422" s="515"/>
      <c r="I422" s="515"/>
      <c r="J422" s="515"/>
      <c r="K422" s="515"/>
      <c r="L422" s="515"/>
      <c r="M422" s="515"/>
      <c r="N422" s="143">
        <v>991</v>
      </c>
      <c r="O422" s="144">
        <v>1</v>
      </c>
      <c r="P422" s="144">
        <v>11</v>
      </c>
      <c r="Q422" s="145" t="s">
        <v>380</v>
      </c>
      <c r="R422" s="146">
        <v>0</v>
      </c>
      <c r="S422" s="500"/>
      <c r="T422" s="500"/>
      <c r="U422" s="164">
        <v>100</v>
      </c>
      <c r="V422" s="164">
        <v>0</v>
      </c>
      <c r="W422" s="164">
        <v>100</v>
      </c>
      <c r="X422" s="514"/>
      <c r="Y422" s="514"/>
      <c r="Z422" s="514"/>
      <c r="AA422" s="514"/>
      <c r="AB422" s="514"/>
      <c r="AC422" s="514"/>
      <c r="AD422" s="514"/>
      <c r="AE422" s="164"/>
      <c r="AF422" s="160"/>
      <c r="AG422" s="160">
        <f>+AG423</f>
        <v>0</v>
      </c>
      <c r="AH422" s="170">
        <f t="shared" si="12"/>
        <v>0</v>
      </c>
    </row>
    <row r="423" spans="1:34" ht="12" customHeight="1" x14ac:dyDescent="0.2">
      <c r="A423" s="141"/>
      <c r="B423" s="515" t="s">
        <v>381</v>
      </c>
      <c r="C423" s="515"/>
      <c r="D423" s="515"/>
      <c r="E423" s="515"/>
      <c r="F423" s="515"/>
      <c r="G423" s="515"/>
      <c r="H423" s="515"/>
      <c r="I423" s="515"/>
      <c r="J423" s="515"/>
      <c r="K423" s="515"/>
      <c r="L423" s="515"/>
      <c r="M423" s="515"/>
      <c r="N423" s="143">
        <v>991</v>
      </c>
      <c r="O423" s="144">
        <v>1</v>
      </c>
      <c r="P423" s="144">
        <v>11</v>
      </c>
      <c r="Q423" s="145" t="s">
        <v>382</v>
      </c>
      <c r="R423" s="146">
        <v>0</v>
      </c>
      <c r="S423" s="500"/>
      <c r="T423" s="500"/>
      <c r="U423" s="164">
        <v>100</v>
      </c>
      <c r="V423" s="164">
        <v>0</v>
      </c>
      <c r="W423" s="164">
        <v>100</v>
      </c>
      <c r="X423" s="514"/>
      <c r="Y423" s="514"/>
      <c r="Z423" s="514"/>
      <c r="AA423" s="514"/>
      <c r="AB423" s="514"/>
      <c r="AC423" s="514"/>
      <c r="AD423" s="514"/>
      <c r="AE423" s="164"/>
      <c r="AF423" s="160"/>
      <c r="AG423" s="160">
        <f>+AG424</f>
        <v>0</v>
      </c>
      <c r="AH423" s="170">
        <f t="shared" si="12"/>
        <v>0</v>
      </c>
    </row>
    <row r="424" spans="1:34" ht="12" customHeight="1" x14ac:dyDescent="0.2">
      <c r="A424" s="141"/>
      <c r="B424" s="515" t="s">
        <v>29</v>
      </c>
      <c r="C424" s="515"/>
      <c r="D424" s="515"/>
      <c r="E424" s="515"/>
      <c r="F424" s="515"/>
      <c r="G424" s="515"/>
      <c r="H424" s="515"/>
      <c r="I424" s="515"/>
      <c r="J424" s="515"/>
      <c r="K424" s="515"/>
      <c r="L424" s="515"/>
      <c r="M424" s="515"/>
      <c r="N424" s="143">
        <v>991</v>
      </c>
      <c r="O424" s="144">
        <v>1</v>
      </c>
      <c r="P424" s="144">
        <v>11</v>
      </c>
      <c r="Q424" s="145" t="s">
        <v>382</v>
      </c>
      <c r="R424" s="146" t="s">
        <v>30</v>
      </c>
      <c r="S424" s="500"/>
      <c r="T424" s="500"/>
      <c r="U424" s="164">
        <v>100</v>
      </c>
      <c r="V424" s="164">
        <v>0</v>
      </c>
      <c r="W424" s="164">
        <v>100</v>
      </c>
      <c r="X424" s="514"/>
      <c r="Y424" s="514"/>
      <c r="Z424" s="514"/>
      <c r="AA424" s="514"/>
      <c r="AB424" s="514"/>
      <c r="AC424" s="514"/>
      <c r="AD424" s="514"/>
      <c r="AE424" s="164"/>
      <c r="AF424" s="160"/>
      <c r="AG424" s="160">
        <f>+AG425</f>
        <v>0</v>
      </c>
      <c r="AH424" s="170">
        <f t="shared" si="12"/>
        <v>0</v>
      </c>
    </row>
    <row r="425" spans="1:34" ht="12" customHeight="1" x14ac:dyDescent="0.2">
      <c r="A425" s="141"/>
      <c r="B425" s="515" t="s">
        <v>83</v>
      </c>
      <c r="C425" s="515"/>
      <c r="D425" s="515"/>
      <c r="E425" s="515"/>
      <c r="F425" s="515"/>
      <c r="G425" s="515"/>
      <c r="H425" s="515"/>
      <c r="I425" s="515"/>
      <c r="J425" s="515"/>
      <c r="K425" s="515"/>
      <c r="L425" s="515"/>
      <c r="M425" s="515"/>
      <c r="N425" s="143">
        <v>991</v>
      </c>
      <c r="O425" s="144">
        <v>1</v>
      </c>
      <c r="P425" s="144">
        <v>11</v>
      </c>
      <c r="Q425" s="145" t="s">
        <v>382</v>
      </c>
      <c r="R425" s="146" t="s">
        <v>383</v>
      </c>
      <c r="S425" s="500"/>
      <c r="T425" s="500"/>
      <c r="U425" s="164">
        <v>100</v>
      </c>
      <c r="V425" s="164">
        <v>0</v>
      </c>
      <c r="W425" s="164">
        <v>100</v>
      </c>
      <c r="X425" s="514"/>
      <c r="Y425" s="514"/>
      <c r="Z425" s="514"/>
      <c r="AA425" s="514"/>
      <c r="AB425" s="514"/>
      <c r="AC425" s="514"/>
      <c r="AD425" s="514"/>
      <c r="AE425" s="164"/>
      <c r="AF425" s="160"/>
      <c r="AG425" s="160"/>
      <c r="AH425" s="170">
        <f t="shared" si="12"/>
        <v>0</v>
      </c>
    </row>
    <row r="426" spans="1:34" ht="12" customHeight="1" x14ac:dyDescent="0.2">
      <c r="A426" s="141"/>
      <c r="B426" s="515" t="s">
        <v>85</v>
      </c>
      <c r="C426" s="515"/>
      <c r="D426" s="515"/>
      <c r="E426" s="515"/>
      <c r="F426" s="515"/>
      <c r="G426" s="515"/>
      <c r="H426" s="515"/>
      <c r="I426" s="515"/>
      <c r="J426" s="515"/>
      <c r="K426" s="515"/>
      <c r="L426" s="515"/>
      <c r="M426" s="515"/>
      <c r="N426" s="143">
        <v>991</v>
      </c>
      <c r="O426" s="144">
        <v>1</v>
      </c>
      <c r="P426" s="144">
        <v>13</v>
      </c>
      <c r="Q426" s="145">
        <v>0</v>
      </c>
      <c r="R426" s="146">
        <v>0</v>
      </c>
      <c r="S426" s="500"/>
      <c r="T426" s="500"/>
      <c r="U426" s="164">
        <v>5073.2489999999998</v>
      </c>
      <c r="V426" s="164">
        <v>0</v>
      </c>
      <c r="W426" s="164">
        <v>5073.2489999999998</v>
      </c>
      <c r="X426" s="514"/>
      <c r="Y426" s="514"/>
      <c r="Z426" s="514"/>
      <c r="AA426" s="514"/>
      <c r="AB426" s="514"/>
      <c r="AC426" s="514"/>
      <c r="AD426" s="514"/>
      <c r="AE426" s="164"/>
      <c r="AF426" s="160"/>
      <c r="AG426" s="160">
        <f>+AG427+AG433+AG439+AG443+AG448+AG454</f>
        <v>1436.9173900000001</v>
      </c>
      <c r="AH426" s="170">
        <f t="shared" si="12"/>
        <v>28.323415428653316</v>
      </c>
    </row>
    <row r="427" spans="1:34" ht="21.75" customHeight="1" x14ac:dyDescent="0.2">
      <c r="A427" s="141"/>
      <c r="B427" s="515" t="s">
        <v>384</v>
      </c>
      <c r="C427" s="515"/>
      <c r="D427" s="515"/>
      <c r="E427" s="515"/>
      <c r="F427" s="515"/>
      <c r="G427" s="515"/>
      <c r="H427" s="515"/>
      <c r="I427" s="515"/>
      <c r="J427" s="515"/>
      <c r="K427" s="515"/>
      <c r="L427" s="515"/>
      <c r="M427" s="515"/>
      <c r="N427" s="143">
        <v>991</v>
      </c>
      <c r="O427" s="144">
        <v>1</v>
      </c>
      <c r="P427" s="144">
        <v>13</v>
      </c>
      <c r="Q427" s="145" t="s">
        <v>385</v>
      </c>
      <c r="R427" s="146">
        <v>0</v>
      </c>
      <c r="S427" s="500"/>
      <c r="T427" s="500"/>
      <c r="U427" s="164">
        <v>64</v>
      </c>
      <c r="V427" s="164">
        <v>0</v>
      </c>
      <c r="W427" s="164">
        <v>64</v>
      </c>
      <c r="X427" s="514"/>
      <c r="Y427" s="514"/>
      <c r="Z427" s="514"/>
      <c r="AA427" s="514"/>
      <c r="AB427" s="514"/>
      <c r="AC427" s="514"/>
      <c r="AD427" s="514"/>
      <c r="AE427" s="164"/>
      <c r="AF427" s="160"/>
      <c r="AG427" s="160">
        <f>+AG428</f>
        <v>26</v>
      </c>
      <c r="AH427" s="170">
        <f t="shared" si="12"/>
        <v>40.625</v>
      </c>
    </row>
    <row r="428" spans="1:34" ht="12" customHeight="1" x14ac:dyDescent="0.2">
      <c r="A428" s="141"/>
      <c r="B428" s="515" t="s">
        <v>386</v>
      </c>
      <c r="C428" s="515"/>
      <c r="D428" s="515"/>
      <c r="E428" s="515"/>
      <c r="F428" s="515"/>
      <c r="G428" s="515"/>
      <c r="H428" s="515"/>
      <c r="I428" s="515"/>
      <c r="J428" s="515"/>
      <c r="K428" s="515"/>
      <c r="L428" s="515"/>
      <c r="M428" s="515"/>
      <c r="N428" s="143">
        <v>991</v>
      </c>
      <c r="O428" s="144">
        <v>1</v>
      </c>
      <c r="P428" s="144">
        <v>13</v>
      </c>
      <c r="Q428" s="145" t="s">
        <v>387</v>
      </c>
      <c r="R428" s="146">
        <v>0</v>
      </c>
      <c r="S428" s="500"/>
      <c r="T428" s="500"/>
      <c r="U428" s="164">
        <v>64</v>
      </c>
      <c r="V428" s="164">
        <v>0</v>
      </c>
      <c r="W428" s="164">
        <v>64</v>
      </c>
      <c r="X428" s="514"/>
      <c r="Y428" s="514"/>
      <c r="Z428" s="514"/>
      <c r="AA428" s="514"/>
      <c r="AB428" s="514"/>
      <c r="AC428" s="514"/>
      <c r="AD428" s="514"/>
      <c r="AE428" s="164"/>
      <c r="AF428" s="160"/>
      <c r="AG428" s="160">
        <f>+AG429</f>
        <v>26</v>
      </c>
      <c r="AH428" s="170">
        <f t="shared" si="12"/>
        <v>40.625</v>
      </c>
    </row>
    <row r="429" spans="1:34" ht="32.25" customHeight="1" x14ac:dyDescent="0.2">
      <c r="A429" s="141"/>
      <c r="B429" s="515" t="s">
        <v>388</v>
      </c>
      <c r="C429" s="515"/>
      <c r="D429" s="515"/>
      <c r="E429" s="515"/>
      <c r="F429" s="515"/>
      <c r="G429" s="515"/>
      <c r="H429" s="515"/>
      <c r="I429" s="515"/>
      <c r="J429" s="515"/>
      <c r="K429" s="515"/>
      <c r="L429" s="515"/>
      <c r="M429" s="515"/>
      <c r="N429" s="143">
        <v>991</v>
      </c>
      <c r="O429" s="144">
        <v>1</v>
      </c>
      <c r="P429" s="144">
        <v>13</v>
      </c>
      <c r="Q429" s="145" t="s">
        <v>389</v>
      </c>
      <c r="R429" s="146">
        <v>0</v>
      </c>
      <c r="S429" s="500"/>
      <c r="T429" s="500"/>
      <c r="U429" s="164">
        <v>64</v>
      </c>
      <c r="V429" s="164">
        <v>0</v>
      </c>
      <c r="W429" s="164">
        <v>64</v>
      </c>
      <c r="X429" s="514"/>
      <c r="Y429" s="514"/>
      <c r="Z429" s="514"/>
      <c r="AA429" s="514"/>
      <c r="AB429" s="514"/>
      <c r="AC429" s="514"/>
      <c r="AD429" s="514"/>
      <c r="AE429" s="164"/>
      <c r="AF429" s="160"/>
      <c r="AG429" s="160">
        <f>+AG430</f>
        <v>26</v>
      </c>
      <c r="AH429" s="170">
        <f t="shared" si="12"/>
        <v>40.625</v>
      </c>
    </row>
    <row r="430" spans="1:34" ht="21.75" customHeight="1" x14ac:dyDescent="0.2">
      <c r="A430" s="141"/>
      <c r="B430" s="515" t="s">
        <v>345</v>
      </c>
      <c r="C430" s="515"/>
      <c r="D430" s="515"/>
      <c r="E430" s="515"/>
      <c r="F430" s="515"/>
      <c r="G430" s="515"/>
      <c r="H430" s="515"/>
      <c r="I430" s="515"/>
      <c r="J430" s="515"/>
      <c r="K430" s="515"/>
      <c r="L430" s="515"/>
      <c r="M430" s="515"/>
      <c r="N430" s="143">
        <v>991</v>
      </c>
      <c r="O430" s="144">
        <v>1</v>
      </c>
      <c r="P430" s="144">
        <v>13</v>
      </c>
      <c r="Q430" s="145" t="s">
        <v>389</v>
      </c>
      <c r="R430" s="146" t="s">
        <v>24</v>
      </c>
      <c r="S430" s="500"/>
      <c r="T430" s="500"/>
      <c r="U430" s="164">
        <v>64</v>
      </c>
      <c r="V430" s="164">
        <v>0</v>
      </c>
      <c r="W430" s="164">
        <v>64</v>
      </c>
      <c r="X430" s="514"/>
      <c r="Y430" s="514"/>
      <c r="Z430" s="514"/>
      <c r="AA430" s="514"/>
      <c r="AB430" s="514"/>
      <c r="AC430" s="514"/>
      <c r="AD430" s="514"/>
      <c r="AE430" s="164"/>
      <c r="AF430" s="160"/>
      <c r="AG430" s="160">
        <f>+AG431</f>
        <v>26</v>
      </c>
      <c r="AH430" s="170">
        <f t="shared" si="12"/>
        <v>40.625</v>
      </c>
    </row>
    <row r="431" spans="1:34" ht="21.75" customHeight="1" x14ac:dyDescent="0.2">
      <c r="A431" s="141"/>
      <c r="B431" s="515" t="s">
        <v>346</v>
      </c>
      <c r="C431" s="515"/>
      <c r="D431" s="515"/>
      <c r="E431" s="515"/>
      <c r="F431" s="515"/>
      <c r="G431" s="515"/>
      <c r="H431" s="515"/>
      <c r="I431" s="515"/>
      <c r="J431" s="515"/>
      <c r="K431" s="515"/>
      <c r="L431" s="515"/>
      <c r="M431" s="515"/>
      <c r="N431" s="143">
        <v>991</v>
      </c>
      <c r="O431" s="144">
        <v>1</v>
      </c>
      <c r="P431" s="144">
        <v>13</v>
      </c>
      <c r="Q431" s="145" t="s">
        <v>389</v>
      </c>
      <c r="R431" s="146" t="s">
        <v>26</v>
      </c>
      <c r="S431" s="500"/>
      <c r="T431" s="500"/>
      <c r="U431" s="164">
        <v>64</v>
      </c>
      <c r="V431" s="164">
        <v>0</v>
      </c>
      <c r="W431" s="164">
        <v>64</v>
      </c>
      <c r="X431" s="514"/>
      <c r="Y431" s="514"/>
      <c r="Z431" s="514"/>
      <c r="AA431" s="514"/>
      <c r="AB431" s="514"/>
      <c r="AC431" s="514"/>
      <c r="AD431" s="514"/>
      <c r="AE431" s="164"/>
      <c r="AF431" s="160"/>
      <c r="AG431" s="160">
        <f>+AG432</f>
        <v>26</v>
      </c>
      <c r="AH431" s="170">
        <f t="shared" si="12"/>
        <v>40.625</v>
      </c>
    </row>
    <row r="432" spans="1:34" ht="12" customHeight="1" x14ac:dyDescent="0.2">
      <c r="A432" s="141"/>
      <c r="B432" s="515" t="s">
        <v>348</v>
      </c>
      <c r="C432" s="515"/>
      <c r="D432" s="515"/>
      <c r="E432" s="515"/>
      <c r="F432" s="515"/>
      <c r="G432" s="515"/>
      <c r="H432" s="515"/>
      <c r="I432" s="515"/>
      <c r="J432" s="515"/>
      <c r="K432" s="515"/>
      <c r="L432" s="515"/>
      <c r="M432" s="515"/>
      <c r="N432" s="143">
        <v>991</v>
      </c>
      <c r="O432" s="144">
        <v>1</v>
      </c>
      <c r="P432" s="144">
        <v>13</v>
      </c>
      <c r="Q432" s="145" t="s">
        <v>389</v>
      </c>
      <c r="R432" s="146" t="s">
        <v>28</v>
      </c>
      <c r="S432" s="500"/>
      <c r="T432" s="500"/>
      <c r="U432" s="164">
        <v>64</v>
      </c>
      <c r="V432" s="164">
        <v>0</v>
      </c>
      <c r="W432" s="164">
        <v>64</v>
      </c>
      <c r="X432" s="514"/>
      <c r="Y432" s="514"/>
      <c r="Z432" s="514"/>
      <c r="AA432" s="514"/>
      <c r="AB432" s="514"/>
      <c r="AC432" s="514"/>
      <c r="AD432" s="514"/>
      <c r="AE432" s="164"/>
      <c r="AF432" s="160"/>
      <c r="AG432" s="160">
        <v>26</v>
      </c>
      <c r="AH432" s="170">
        <f t="shared" si="12"/>
        <v>40.625</v>
      </c>
    </row>
    <row r="433" spans="1:34" ht="21.75" customHeight="1" x14ac:dyDescent="0.2">
      <c r="A433" s="141"/>
      <c r="B433" s="515" t="s">
        <v>86</v>
      </c>
      <c r="C433" s="515"/>
      <c r="D433" s="515"/>
      <c r="E433" s="515"/>
      <c r="F433" s="515"/>
      <c r="G433" s="515"/>
      <c r="H433" s="515"/>
      <c r="I433" s="515"/>
      <c r="J433" s="515"/>
      <c r="K433" s="515"/>
      <c r="L433" s="515"/>
      <c r="M433" s="515"/>
      <c r="N433" s="143">
        <v>991</v>
      </c>
      <c r="O433" s="144">
        <v>1</v>
      </c>
      <c r="P433" s="144">
        <v>13</v>
      </c>
      <c r="Q433" s="145" t="s">
        <v>546</v>
      </c>
      <c r="R433" s="146">
        <v>0</v>
      </c>
      <c r="S433" s="500"/>
      <c r="T433" s="500"/>
      <c r="U433" s="164">
        <v>100</v>
      </c>
      <c r="V433" s="164">
        <v>0</v>
      </c>
      <c r="W433" s="164">
        <v>100</v>
      </c>
      <c r="X433" s="514"/>
      <c r="Y433" s="514"/>
      <c r="Z433" s="514"/>
      <c r="AA433" s="514"/>
      <c r="AB433" s="514"/>
      <c r="AC433" s="514"/>
      <c r="AD433" s="514"/>
      <c r="AE433" s="164"/>
      <c r="AF433" s="160"/>
      <c r="AG433" s="160">
        <f>+AG434</f>
        <v>93.5</v>
      </c>
      <c r="AH433" s="170">
        <f t="shared" si="12"/>
        <v>93.5</v>
      </c>
    </row>
    <row r="434" spans="1:34" ht="21.75" customHeight="1" x14ac:dyDescent="0.2">
      <c r="A434" s="141"/>
      <c r="B434" s="515" t="s">
        <v>547</v>
      </c>
      <c r="C434" s="515"/>
      <c r="D434" s="515"/>
      <c r="E434" s="515"/>
      <c r="F434" s="515"/>
      <c r="G434" s="515"/>
      <c r="H434" s="515"/>
      <c r="I434" s="515"/>
      <c r="J434" s="515"/>
      <c r="K434" s="515"/>
      <c r="L434" s="515"/>
      <c r="M434" s="515"/>
      <c r="N434" s="143">
        <v>991</v>
      </c>
      <c r="O434" s="144">
        <v>1</v>
      </c>
      <c r="P434" s="144">
        <v>13</v>
      </c>
      <c r="Q434" s="145" t="s">
        <v>548</v>
      </c>
      <c r="R434" s="146">
        <v>0</v>
      </c>
      <c r="S434" s="500"/>
      <c r="T434" s="500"/>
      <c r="U434" s="164">
        <v>100</v>
      </c>
      <c r="V434" s="164">
        <v>0</v>
      </c>
      <c r="W434" s="164">
        <v>100</v>
      </c>
      <c r="X434" s="514"/>
      <c r="Y434" s="514"/>
      <c r="Z434" s="514"/>
      <c r="AA434" s="514"/>
      <c r="AB434" s="514"/>
      <c r="AC434" s="514"/>
      <c r="AD434" s="514"/>
      <c r="AE434" s="164"/>
      <c r="AF434" s="160"/>
      <c r="AG434" s="160">
        <f>+AG435</f>
        <v>93.5</v>
      </c>
      <c r="AH434" s="170">
        <f t="shared" si="12"/>
        <v>93.5</v>
      </c>
    </row>
    <row r="435" spans="1:34" ht="21.75" customHeight="1" x14ac:dyDescent="0.2">
      <c r="A435" s="141"/>
      <c r="B435" s="515" t="s">
        <v>547</v>
      </c>
      <c r="C435" s="515"/>
      <c r="D435" s="515"/>
      <c r="E435" s="515"/>
      <c r="F435" s="515"/>
      <c r="G435" s="515"/>
      <c r="H435" s="515"/>
      <c r="I435" s="515"/>
      <c r="J435" s="515"/>
      <c r="K435" s="515"/>
      <c r="L435" s="515"/>
      <c r="M435" s="515"/>
      <c r="N435" s="143">
        <v>991</v>
      </c>
      <c r="O435" s="144">
        <v>1</v>
      </c>
      <c r="P435" s="144">
        <v>13</v>
      </c>
      <c r="Q435" s="145" t="s">
        <v>549</v>
      </c>
      <c r="R435" s="146">
        <v>0</v>
      </c>
      <c r="S435" s="500"/>
      <c r="T435" s="500"/>
      <c r="U435" s="164">
        <v>100</v>
      </c>
      <c r="V435" s="164">
        <v>0</v>
      </c>
      <c r="W435" s="164">
        <v>100</v>
      </c>
      <c r="X435" s="514"/>
      <c r="Y435" s="514"/>
      <c r="Z435" s="514"/>
      <c r="AA435" s="514"/>
      <c r="AB435" s="514"/>
      <c r="AC435" s="514"/>
      <c r="AD435" s="514"/>
      <c r="AE435" s="164"/>
      <c r="AF435" s="160"/>
      <c r="AG435" s="160">
        <f>+AG436</f>
        <v>93.5</v>
      </c>
      <c r="AH435" s="170">
        <f t="shared" si="12"/>
        <v>93.5</v>
      </c>
    </row>
    <row r="436" spans="1:34" ht="21.75" customHeight="1" x14ac:dyDescent="0.2">
      <c r="A436" s="141"/>
      <c r="B436" s="515" t="s">
        <v>345</v>
      </c>
      <c r="C436" s="515"/>
      <c r="D436" s="515"/>
      <c r="E436" s="515"/>
      <c r="F436" s="515"/>
      <c r="G436" s="515"/>
      <c r="H436" s="515"/>
      <c r="I436" s="515"/>
      <c r="J436" s="515"/>
      <c r="K436" s="515"/>
      <c r="L436" s="515"/>
      <c r="M436" s="515"/>
      <c r="N436" s="143">
        <v>991</v>
      </c>
      <c r="O436" s="144">
        <v>1</v>
      </c>
      <c r="P436" s="144">
        <v>13</v>
      </c>
      <c r="Q436" s="145" t="s">
        <v>549</v>
      </c>
      <c r="R436" s="146" t="s">
        <v>24</v>
      </c>
      <c r="S436" s="500"/>
      <c r="T436" s="500"/>
      <c r="U436" s="164">
        <v>100</v>
      </c>
      <c r="V436" s="164">
        <v>0</v>
      </c>
      <c r="W436" s="164">
        <v>100</v>
      </c>
      <c r="X436" s="514"/>
      <c r="Y436" s="514"/>
      <c r="Z436" s="514"/>
      <c r="AA436" s="514"/>
      <c r="AB436" s="514"/>
      <c r="AC436" s="514"/>
      <c r="AD436" s="514"/>
      <c r="AE436" s="164"/>
      <c r="AF436" s="160"/>
      <c r="AG436" s="160">
        <f>+AG437</f>
        <v>93.5</v>
      </c>
      <c r="AH436" s="170">
        <f t="shared" si="12"/>
        <v>93.5</v>
      </c>
    </row>
    <row r="437" spans="1:34" ht="21.75" customHeight="1" x14ac:dyDescent="0.2">
      <c r="A437" s="141"/>
      <c r="B437" s="515" t="s">
        <v>346</v>
      </c>
      <c r="C437" s="515"/>
      <c r="D437" s="515"/>
      <c r="E437" s="515"/>
      <c r="F437" s="515"/>
      <c r="G437" s="515"/>
      <c r="H437" s="515"/>
      <c r="I437" s="515"/>
      <c r="J437" s="515"/>
      <c r="K437" s="515"/>
      <c r="L437" s="515"/>
      <c r="M437" s="515"/>
      <c r="N437" s="143">
        <v>991</v>
      </c>
      <c r="O437" s="144">
        <v>1</v>
      </c>
      <c r="P437" s="144">
        <v>13</v>
      </c>
      <c r="Q437" s="145" t="s">
        <v>549</v>
      </c>
      <c r="R437" s="146" t="s">
        <v>26</v>
      </c>
      <c r="S437" s="500"/>
      <c r="T437" s="500"/>
      <c r="U437" s="164">
        <v>100</v>
      </c>
      <c r="V437" s="164">
        <v>0</v>
      </c>
      <c r="W437" s="164">
        <v>100</v>
      </c>
      <c r="X437" s="514"/>
      <c r="Y437" s="514"/>
      <c r="Z437" s="514"/>
      <c r="AA437" s="514"/>
      <c r="AB437" s="514"/>
      <c r="AC437" s="514"/>
      <c r="AD437" s="514"/>
      <c r="AE437" s="164"/>
      <c r="AF437" s="160"/>
      <c r="AG437" s="160">
        <f>+AG438</f>
        <v>93.5</v>
      </c>
      <c r="AH437" s="170">
        <f t="shared" si="12"/>
        <v>93.5</v>
      </c>
    </row>
    <row r="438" spans="1:34" ht="12" customHeight="1" x14ac:dyDescent="0.2">
      <c r="A438" s="141"/>
      <c r="B438" s="515" t="s">
        <v>348</v>
      </c>
      <c r="C438" s="515"/>
      <c r="D438" s="515"/>
      <c r="E438" s="515"/>
      <c r="F438" s="515"/>
      <c r="G438" s="515"/>
      <c r="H438" s="515"/>
      <c r="I438" s="515"/>
      <c r="J438" s="515"/>
      <c r="K438" s="515"/>
      <c r="L438" s="515"/>
      <c r="M438" s="515"/>
      <c r="N438" s="143">
        <v>991</v>
      </c>
      <c r="O438" s="144">
        <v>1</v>
      </c>
      <c r="P438" s="144">
        <v>13</v>
      </c>
      <c r="Q438" s="145" t="s">
        <v>549</v>
      </c>
      <c r="R438" s="146" t="s">
        <v>28</v>
      </c>
      <c r="S438" s="500"/>
      <c r="T438" s="500"/>
      <c r="U438" s="164">
        <v>100</v>
      </c>
      <c r="V438" s="164">
        <v>0</v>
      </c>
      <c r="W438" s="164">
        <v>100</v>
      </c>
      <c r="X438" s="514"/>
      <c r="Y438" s="514"/>
      <c r="Z438" s="514"/>
      <c r="AA438" s="514"/>
      <c r="AB438" s="514"/>
      <c r="AC438" s="514"/>
      <c r="AD438" s="514"/>
      <c r="AE438" s="164"/>
      <c r="AF438" s="160"/>
      <c r="AG438" s="160">
        <v>93.5</v>
      </c>
      <c r="AH438" s="170">
        <f t="shared" si="12"/>
        <v>93.5</v>
      </c>
    </row>
    <row r="439" spans="1:34" ht="53.25" customHeight="1" x14ac:dyDescent="0.2">
      <c r="A439" s="141"/>
      <c r="B439" s="515" t="s">
        <v>550</v>
      </c>
      <c r="C439" s="515"/>
      <c r="D439" s="515"/>
      <c r="E439" s="515"/>
      <c r="F439" s="515"/>
      <c r="G439" s="515"/>
      <c r="H439" s="515"/>
      <c r="I439" s="515"/>
      <c r="J439" s="515"/>
      <c r="K439" s="515"/>
      <c r="L439" s="515"/>
      <c r="M439" s="515"/>
      <c r="N439" s="143">
        <v>991</v>
      </c>
      <c r="O439" s="144">
        <v>1</v>
      </c>
      <c r="P439" s="144">
        <v>13</v>
      </c>
      <c r="Q439" s="145" t="s">
        <v>551</v>
      </c>
      <c r="R439" s="146">
        <v>0</v>
      </c>
      <c r="S439" s="500"/>
      <c r="T439" s="500"/>
      <c r="U439" s="164">
        <v>50</v>
      </c>
      <c r="V439" s="164">
        <v>0</v>
      </c>
      <c r="W439" s="164">
        <v>50</v>
      </c>
      <c r="X439" s="514"/>
      <c r="Y439" s="514"/>
      <c r="Z439" s="514"/>
      <c r="AA439" s="514"/>
      <c r="AB439" s="514"/>
      <c r="AC439" s="514"/>
      <c r="AD439" s="514"/>
      <c r="AE439" s="164"/>
      <c r="AF439" s="160"/>
      <c r="AG439" s="160">
        <f>+AG440</f>
        <v>0</v>
      </c>
      <c r="AH439" s="170">
        <f t="shared" si="12"/>
        <v>0</v>
      </c>
    </row>
    <row r="440" spans="1:34" ht="21.75" customHeight="1" x14ac:dyDescent="0.2">
      <c r="A440" s="141"/>
      <c r="B440" s="515" t="s">
        <v>345</v>
      </c>
      <c r="C440" s="515"/>
      <c r="D440" s="515"/>
      <c r="E440" s="515"/>
      <c r="F440" s="515"/>
      <c r="G440" s="515"/>
      <c r="H440" s="515"/>
      <c r="I440" s="515"/>
      <c r="J440" s="515"/>
      <c r="K440" s="515"/>
      <c r="L440" s="515"/>
      <c r="M440" s="515"/>
      <c r="N440" s="143">
        <v>991</v>
      </c>
      <c r="O440" s="144">
        <v>1</v>
      </c>
      <c r="P440" s="144">
        <v>13</v>
      </c>
      <c r="Q440" s="145" t="s">
        <v>551</v>
      </c>
      <c r="R440" s="146" t="s">
        <v>24</v>
      </c>
      <c r="S440" s="500"/>
      <c r="T440" s="500"/>
      <c r="U440" s="164">
        <v>50</v>
      </c>
      <c r="V440" s="164">
        <v>0</v>
      </c>
      <c r="W440" s="164">
        <v>50</v>
      </c>
      <c r="X440" s="514"/>
      <c r="Y440" s="514"/>
      <c r="Z440" s="514"/>
      <c r="AA440" s="514"/>
      <c r="AB440" s="514"/>
      <c r="AC440" s="514"/>
      <c r="AD440" s="514"/>
      <c r="AE440" s="164"/>
      <c r="AF440" s="160"/>
      <c r="AG440" s="160">
        <f>+AG441</f>
        <v>0</v>
      </c>
      <c r="AH440" s="170">
        <f t="shared" si="12"/>
        <v>0</v>
      </c>
    </row>
    <row r="441" spans="1:34" ht="21.75" customHeight="1" x14ac:dyDescent="0.2">
      <c r="A441" s="141"/>
      <c r="B441" s="515" t="s">
        <v>346</v>
      </c>
      <c r="C441" s="515"/>
      <c r="D441" s="515"/>
      <c r="E441" s="515"/>
      <c r="F441" s="515"/>
      <c r="G441" s="515"/>
      <c r="H441" s="515"/>
      <c r="I441" s="515"/>
      <c r="J441" s="515"/>
      <c r="K441" s="515"/>
      <c r="L441" s="515"/>
      <c r="M441" s="515"/>
      <c r="N441" s="143">
        <v>991</v>
      </c>
      <c r="O441" s="144">
        <v>1</v>
      </c>
      <c r="P441" s="144">
        <v>13</v>
      </c>
      <c r="Q441" s="145" t="s">
        <v>551</v>
      </c>
      <c r="R441" s="146" t="s">
        <v>26</v>
      </c>
      <c r="S441" s="500"/>
      <c r="T441" s="500"/>
      <c r="U441" s="164">
        <v>50</v>
      </c>
      <c r="V441" s="164">
        <v>0</v>
      </c>
      <c r="W441" s="164">
        <v>50</v>
      </c>
      <c r="X441" s="514"/>
      <c r="Y441" s="514"/>
      <c r="Z441" s="514"/>
      <c r="AA441" s="514"/>
      <c r="AB441" s="514"/>
      <c r="AC441" s="514"/>
      <c r="AD441" s="514"/>
      <c r="AE441" s="164"/>
      <c r="AF441" s="160"/>
      <c r="AG441" s="160">
        <f>+AG442</f>
        <v>0</v>
      </c>
      <c r="AH441" s="170">
        <f t="shared" si="12"/>
        <v>0</v>
      </c>
    </row>
    <row r="442" spans="1:34" ht="12" customHeight="1" x14ac:dyDescent="0.2">
      <c r="A442" s="141"/>
      <c r="B442" s="515" t="s">
        <v>348</v>
      </c>
      <c r="C442" s="515"/>
      <c r="D442" s="515"/>
      <c r="E442" s="515"/>
      <c r="F442" s="515"/>
      <c r="G442" s="515"/>
      <c r="H442" s="515"/>
      <c r="I442" s="515"/>
      <c r="J442" s="515"/>
      <c r="K442" s="515"/>
      <c r="L442" s="515"/>
      <c r="M442" s="515"/>
      <c r="N442" s="143">
        <v>991</v>
      </c>
      <c r="O442" s="144">
        <v>1</v>
      </c>
      <c r="P442" s="144">
        <v>13</v>
      </c>
      <c r="Q442" s="145" t="s">
        <v>551</v>
      </c>
      <c r="R442" s="146" t="s">
        <v>28</v>
      </c>
      <c r="S442" s="500"/>
      <c r="T442" s="500"/>
      <c r="U442" s="164">
        <v>50</v>
      </c>
      <c r="V442" s="164">
        <v>0</v>
      </c>
      <c r="W442" s="164">
        <v>50</v>
      </c>
      <c r="X442" s="514"/>
      <c r="Y442" s="514"/>
      <c r="Z442" s="514"/>
      <c r="AA442" s="514"/>
      <c r="AB442" s="514"/>
      <c r="AC442" s="514"/>
      <c r="AD442" s="514"/>
      <c r="AE442" s="164"/>
      <c r="AF442" s="160"/>
      <c r="AG442" s="160"/>
      <c r="AH442" s="170">
        <f t="shared" si="12"/>
        <v>0</v>
      </c>
    </row>
    <row r="443" spans="1:34" ht="53.25" customHeight="1" x14ac:dyDescent="0.2">
      <c r="A443" s="141"/>
      <c r="B443" s="515" t="s">
        <v>552</v>
      </c>
      <c r="C443" s="515"/>
      <c r="D443" s="515"/>
      <c r="E443" s="515"/>
      <c r="F443" s="515"/>
      <c r="G443" s="515"/>
      <c r="H443" s="515"/>
      <c r="I443" s="515"/>
      <c r="J443" s="515"/>
      <c r="K443" s="515"/>
      <c r="L443" s="515"/>
      <c r="M443" s="515"/>
      <c r="N443" s="143">
        <v>991</v>
      </c>
      <c r="O443" s="144">
        <v>1</v>
      </c>
      <c r="P443" s="144">
        <v>13</v>
      </c>
      <c r="Q443" s="145" t="s">
        <v>553</v>
      </c>
      <c r="R443" s="146">
        <v>0</v>
      </c>
      <c r="S443" s="500"/>
      <c r="T443" s="500"/>
      <c r="U443" s="164">
        <v>100</v>
      </c>
      <c r="V443" s="164">
        <v>0</v>
      </c>
      <c r="W443" s="164">
        <v>100</v>
      </c>
      <c r="X443" s="514"/>
      <c r="Y443" s="514"/>
      <c r="Z443" s="514"/>
      <c r="AA443" s="514"/>
      <c r="AB443" s="514"/>
      <c r="AC443" s="514"/>
      <c r="AD443" s="514"/>
      <c r="AE443" s="164"/>
      <c r="AF443" s="160"/>
      <c r="AG443" s="160">
        <f>+AG444</f>
        <v>0</v>
      </c>
      <c r="AH443" s="170">
        <f t="shared" si="12"/>
        <v>0</v>
      </c>
    </row>
    <row r="444" spans="1:34" ht="32.25" customHeight="1" x14ac:dyDescent="0.2">
      <c r="A444" s="141"/>
      <c r="B444" s="515" t="s">
        <v>554</v>
      </c>
      <c r="C444" s="515"/>
      <c r="D444" s="515"/>
      <c r="E444" s="515"/>
      <c r="F444" s="515"/>
      <c r="G444" s="515"/>
      <c r="H444" s="515"/>
      <c r="I444" s="515"/>
      <c r="J444" s="515"/>
      <c r="K444" s="515"/>
      <c r="L444" s="515"/>
      <c r="M444" s="515"/>
      <c r="N444" s="143">
        <v>991</v>
      </c>
      <c r="O444" s="144">
        <v>1</v>
      </c>
      <c r="P444" s="144">
        <v>13</v>
      </c>
      <c r="Q444" s="145" t="s">
        <v>555</v>
      </c>
      <c r="R444" s="146">
        <v>0</v>
      </c>
      <c r="S444" s="500"/>
      <c r="T444" s="500"/>
      <c r="U444" s="164">
        <v>100</v>
      </c>
      <c r="V444" s="164">
        <v>0</v>
      </c>
      <c r="W444" s="164">
        <v>100</v>
      </c>
      <c r="X444" s="514"/>
      <c r="Y444" s="514"/>
      <c r="Z444" s="514"/>
      <c r="AA444" s="514"/>
      <c r="AB444" s="514"/>
      <c r="AC444" s="514"/>
      <c r="AD444" s="514"/>
      <c r="AE444" s="164"/>
      <c r="AF444" s="160"/>
      <c r="AG444" s="160">
        <f>+AG445</f>
        <v>0</v>
      </c>
      <c r="AH444" s="170">
        <f t="shared" si="12"/>
        <v>0</v>
      </c>
    </row>
    <row r="445" spans="1:34" ht="21.75" customHeight="1" x14ac:dyDescent="0.2">
      <c r="A445" s="141"/>
      <c r="B445" s="515" t="s">
        <v>345</v>
      </c>
      <c r="C445" s="515"/>
      <c r="D445" s="515"/>
      <c r="E445" s="515"/>
      <c r="F445" s="515"/>
      <c r="G445" s="515"/>
      <c r="H445" s="515"/>
      <c r="I445" s="515"/>
      <c r="J445" s="515"/>
      <c r="K445" s="515"/>
      <c r="L445" s="515"/>
      <c r="M445" s="515"/>
      <c r="N445" s="143">
        <v>991</v>
      </c>
      <c r="O445" s="144">
        <v>1</v>
      </c>
      <c r="P445" s="144">
        <v>13</v>
      </c>
      <c r="Q445" s="145" t="s">
        <v>555</v>
      </c>
      <c r="R445" s="146" t="s">
        <v>24</v>
      </c>
      <c r="S445" s="500"/>
      <c r="T445" s="500"/>
      <c r="U445" s="164">
        <v>100</v>
      </c>
      <c r="V445" s="164">
        <v>0</v>
      </c>
      <c r="W445" s="164">
        <v>100</v>
      </c>
      <c r="X445" s="514"/>
      <c r="Y445" s="514"/>
      <c r="Z445" s="514"/>
      <c r="AA445" s="514"/>
      <c r="AB445" s="514"/>
      <c r="AC445" s="514"/>
      <c r="AD445" s="514"/>
      <c r="AE445" s="164"/>
      <c r="AF445" s="160"/>
      <c r="AG445" s="160">
        <f>+AG446</f>
        <v>0</v>
      </c>
      <c r="AH445" s="170">
        <f t="shared" si="12"/>
        <v>0</v>
      </c>
    </row>
    <row r="446" spans="1:34" ht="21.75" customHeight="1" x14ac:dyDescent="0.2">
      <c r="A446" s="141"/>
      <c r="B446" s="515" t="s">
        <v>346</v>
      </c>
      <c r="C446" s="515"/>
      <c r="D446" s="515"/>
      <c r="E446" s="515"/>
      <c r="F446" s="515"/>
      <c r="G446" s="515"/>
      <c r="H446" s="515"/>
      <c r="I446" s="515"/>
      <c r="J446" s="515"/>
      <c r="K446" s="515"/>
      <c r="L446" s="515"/>
      <c r="M446" s="515"/>
      <c r="N446" s="143">
        <v>991</v>
      </c>
      <c r="O446" s="144">
        <v>1</v>
      </c>
      <c r="P446" s="144">
        <v>13</v>
      </c>
      <c r="Q446" s="145" t="s">
        <v>555</v>
      </c>
      <c r="R446" s="146" t="s">
        <v>26</v>
      </c>
      <c r="S446" s="500"/>
      <c r="T446" s="500"/>
      <c r="U446" s="164">
        <v>100</v>
      </c>
      <c r="V446" s="164">
        <v>0</v>
      </c>
      <c r="W446" s="164">
        <v>100</v>
      </c>
      <c r="X446" s="514"/>
      <c r="Y446" s="514"/>
      <c r="Z446" s="514"/>
      <c r="AA446" s="514"/>
      <c r="AB446" s="514"/>
      <c r="AC446" s="514"/>
      <c r="AD446" s="514"/>
      <c r="AE446" s="164"/>
      <c r="AF446" s="160"/>
      <c r="AG446" s="160">
        <f>+AG447</f>
        <v>0</v>
      </c>
      <c r="AH446" s="170">
        <f t="shared" si="12"/>
        <v>0</v>
      </c>
    </row>
    <row r="447" spans="1:34" ht="12" customHeight="1" x14ac:dyDescent="0.2">
      <c r="A447" s="141"/>
      <c r="B447" s="515" t="s">
        <v>348</v>
      </c>
      <c r="C447" s="515"/>
      <c r="D447" s="515"/>
      <c r="E447" s="515"/>
      <c r="F447" s="515"/>
      <c r="G447" s="515"/>
      <c r="H447" s="515"/>
      <c r="I447" s="515"/>
      <c r="J447" s="515"/>
      <c r="K447" s="515"/>
      <c r="L447" s="515"/>
      <c r="M447" s="515"/>
      <c r="N447" s="143">
        <v>991</v>
      </c>
      <c r="O447" s="144">
        <v>1</v>
      </c>
      <c r="P447" s="144">
        <v>13</v>
      </c>
      <c r="Q447" s="145" t="s">
        <v>555</v>
      </c>
      <c r="R447" s="146" t="s">
        <v>28</v>
      </c>
      <c r="S447" s="500"/>
      <c r="T447" s="500"/>
      <c r="U447" s="164">
        <v>100</v>
      </c>
      <c r="V447" s="164">
        <v>0</v>
      </c>
      <c r="W447" s="164">
        <v>100</v>
      </c>
      <c r="X447" s="514"/>
      <c r="Y447" s="514"/>
      <c r="Z447" s="514"/>
      <c r="AA447" s="514"/>
      <c r="AB447" s="514"/>
      <c r="AC447" s="514"/>
      <c r="AD447" s="514"/>
      <c r="AE447" s="164"/>
      <c r="AF447" s="160"/>
      <c r="AG447" s="160"/>
      <c r="AH447" s="170">
        <f t="shared" si="12"/>
        <v>0</v>
      </c>
    </row>
    <row r="448" spans="1:34" ht="32.25" customHeight="1" x14ac:dyDescent="0.2">
      <c r="A448" s="141"/>
      <c r="B448" s="515" t="s">
        <v>329</v>
      </c>
      <c r="C448" s="515"/>
      <c r="D448" s="515"/>
      <c r="E448" s="515"/>
      <c r="F448" s="515"/>
      <c r="G448" s="515"/>
      <c r="H448" s="515"/>
      <c r="I448" s="515"/>
      <c r="J448" s="515"/>
      <c r="K448" s="515"/>
      <c r="L448" s="515"/>
      <c r="M448" s="515"/>
      <c r="N448" s="143">
        <v>991</v>
      </c>
      <c r="O448" s="144">
        <v>1</v>
      </c>
      <c r="P448" s="144">
        <v>13</v>
      </c>
      <c r="Q448" s="145" t="s">
        <v>330</v>
      </c>
      <c r="R448" s="146">
        <v>0</v>
      </c>
      <c r="S448" s="500"/>
      <c r="T448" s="500"/>
      <c r="U448" s="164">
        <v>4207.1490000000003</v>
      </c>
      <c r="V448" s="164">
        <v>0</v>
      </c>
      <c r="W448" s="164">
        <v>4207.1490000000003</v>
      </c>
      <c r="X448" s="514"/>
      <c r="Y448" s="514"/>
      <c r="Z448" s="514"/>
      <c r="AA448" s="514"/>
      <c r="AB448" s="514"/>
      <c r="AC448" s="514"/>
      <c r="AD448" s="514"/>
      <c r="AE448" s="164"/>
      <c r="AF448" s="160"/>
      <c r="AG448" s="160">
        <f>+AG449</f>
        <v>1213.8925300000001</v>
      </c>
      <c r="AH448" s="170">
        <f t="shared" si="12"/>
        <v>28.853091012464738</v>
      </c>
    </row>
    <row r="449" spans="1:34" ht="21.75" customHeight="1" x14ac:dyDescent="0.2">
      <c r="A449" s="141"/>
      <c r="B449" s="515" t="s">
        <v>393</v>
      </c>
      <c r="C449" s="515"/>
      <c r="D449" s="515"/>
      <c r="E449" s="515"/>
      <c r="F449" s="515"/>
      <c r="G449" s="515"/>
      <c r="H449" s="515"/>
      <c r="I449" s="515"/>
      <c r="J449" s="515"/>
      <c r="K449" s="515"/>
      <c r="L449" s="515"/>
      <c r="M449" s="515"/>
      <c r="N449" s="143">
        <v>991</v>
      </c>
      <c r="O449" s="144">
        <v>1</v>
      </c>
      <c r="P449" s="144">
        <v>13</v>
      </c>
      <c r="Q449" s="145" t="s">
        <v>394</v>
      </c>
      <c r="R449" s="146">
        <v>0</v>
      </c>
      <c r="S449" s="500"/>
      <c r="T449" s="500"/>
      <c r="U449" s="164">
        <v>4207.1490000000003</v>
      </c>
      <c r="V449" s="164">
        <v>0</v>
      </c>
      <c r="W449" s="164">
        <v>4207.1490000000003</v>
      </c>
      <c r="X449" s="514"/>
      <c r="Y449" s="514"/>
      <c r="Z449" s="514"/>
      <c r="AA449" s="514"/>
      <c r="AB449" s="514"/>
      <c r="AC449" s="514"/>
      <c r="AD449" s="514"/>
      <c r="AE449" s="164"/>
      <c r="AF449" s="160"/>
      <c r="AG449" s="160">
        <f>+AG450</f>
        <v>1213.8925300000001</v>
      </c>
      <c r="AH449" s="170">
        <f t="shared" si="12"/>
        <v>28.853091012464738</v>
      </c>
    </row>
    <row r="450" spans="1:34" ht="53.25" customHeight="1" x14ac:dyDescent="0.2">
      <c r="A450" s="141"/>
      <c r="B450" s="515" t="s">
        <v>17</v>
      </c>
      <c r="C450" s="515"/>
      <c r="D450" s="515"/>
      <c r="E450" s="515"/>
      <c r="F450" s="515"/>
      <c r="G450" s="515"/>
      <c r="H450" s="515"/>
      <c r="I450" s="515"/>
      <c r="J450" s="515"/>
      <c r="K450" s="515"/>
      <c r="L450" s="515"/>
      <c r="M450" s="515"/>
      <c r="N450" s="143">
        <v>991</v>
      </c>
      <c r="O450" s="144">
        <v>1</v>
      </c>
      <c r="P450" s="144">
        <v>13</v>
      </c>
      <c r="Q450" s="145" t="s">
        <v>394</v>
      </c>
      <c r="R450" s="146" t="s">
        <v>18</v>
      </c>
      <c r="S450" s="500"/>
      <c r="T450" s="500"/>
      <c r="U450" s="164">
        <v>4207.1490000000003</v>
      </c>
      <c r="V450" s="164">
        <v>0</v>
      </c>
      <c r="W450" s="164">
        <v>4207.1490000000003</v>
      </c>
      <c r="X450" s="514"/>
      <c r="Y450" s="514"/>
      <c r="Z450" s="514"/>
      <c r="AA450" s="514"/>
      <c r="AB450" s="514"/>
      <c r="AC450" s="514"/>
      <c r="AD450" s="514"/>
      <c r="AE450" s="164"/>
      <c r="AF450" s="160"/>
      <c r="AG450" s="160">
        <f>+AG451</f>
        <v>1213.8925300000001</v>
      </c>
      <c r="AH450" s="170">
        <f t="shared" si="12"/>
        <v>28.853091012464738</v>
      </c>
    </row>
    <row r="451" spans="1:34" ht="21.75" customHeight="1" x14ac:dyDescent="0.2">
      <c r="A451" s="141"/>
      <c r="B451" s="515" t="s">
        <v>37</v>
      </c>
      <c r="C451" s="515"/>
      <c r="D451" s="515"/>
      <c r="E451" s="515"/>
      <c r="F451" s="515"/>
      <c r="G451" s="515"/>
      <c r="H451" s="515"/>
      <c r="I451" s="515"/>
      <c r="J451" s="515"/>
      <c r="K451" s="515"/>
      <c r="L451" s="515"/>
      <c r="M451" s="515"/>
      <c r="N451" s="143">
        <v>991</v>
      </c>
      <c r="O451" s="144">
        <v>1</v>
      </c>
      <c r="P451" s="144">
        <v>13</v>
      </c>
      <c r="Q451" s="145" t="s">
        <v>394</v>
      </c>
      <c r="R451" s="146" t="s">
        <v>38</v>
      </c>
      <c r="S451" s="500"/>
      <c r="T451" s="500"/>
      <c r="U451" s="164">
        <v>4207.1490000000003</v>
      </c>
      <c r="V451" s="164">
        <v>0</v>
      </c>
      <c r="W451" s="164">
        <v>4207.1490000000003</v>
      </c>
      <c r="X451" s="514"/>
      <c r="Y451" s="514"/>
      <c r="Z451" s="514"/>
      <c r="AA451" s="514"/>
      <c r="AB451" s="514"/>
      <c r="AC451" s="514"/>
      <c r="AD451" s="514"/>
      <c r="AE451" s="164"/>
      <c r="AF451" s="160"/>
      <c r="AG451" s="160">
        <f>+AG452+AG453</f>
        <v>1213.8925300000001</v>
      </c>
      <c r="AH451" s="170">
        <f t="shared" si="12"/>
        <v>28.853091012464738</v>
      </c>
    </row>
    <row r="452" spans="1:34" ht="21.75" customHeight="1" x14ac:dyDescent="0.2">
      <c r="A452" s="141"/>
      <c r="B452" s="515" t="s">
        <v>333</v>
      </c>
      <c r="C452" s="515"/>
      <c r="D452" s="515"/>
      <c r="E452" s="515"/>
      <c r="F452" s="515"/>
      <c r="G452" s="515"/>
      <c r="H452" s="515"/>
      <c r="I452" s="515"/>
      <c r="J452" s="515"/>
      <c r="K452" s="515"/>
      <c r="L452" s="515"/>
      <c r="M452" s="515"/>
      <c r="N452" s="143">
        <v>991</v>
      </c>
      <c r="O452" s="144">
        <v>1</v>
      </c>
      <c r="P452" s="144">
        <v>13</v>
      </c>
      <c r="Q452" s="145" t="s">
        <v>394</v>
      </c>
      <c r="R452" s="146" t="s">
        <v>39</v>
      </c>
      <c r="S452" s="500"/>
      <c r="T452" s="500"/>
      <c r="U452" s="164">
        <v>3231.297</v>
      </c>
      <c r="V452" s="164">
        <v>0</v>
      </c>
      <c r="W452" s="164">
        <v>3231.297</v>
      </c>
      <c r="X452" s="514"/>
      <c r="Y452" s="514"/>
      <c r="Z452" s="514"/>
      <c r="AA452" s="514"/>
      <c r="AB452" s="514"/>
      <c r="AC452" s="514"/>
      <c r="AD452" s="514"/>
      <c r="AE452" s="164"/>
      <c r="AF452" s="160"/>
      <c r="AG452" s="160">
        <v>932.32912999999996</v>
      </c>
      <c r="AH452" s="170">
        <f t="shared" si="12"/>
        <v>28.85309304591933</v>
      </c>
    </row>
    <row r="453" spans="1:34" ht="32.25" customHeight="1" x14ac:dyDescent="0.2">
      <c r="A453" s="141"/>
      <c r="B453" s="515" t="s">
        <v>334</v>
      </c>
      <c r="C453" s="515"/>
      <c r="D453" s="515"/>
      <c r="E453" s="515"/>
      <c r="F453" s="515"/>
      <c r="G453" s="515"/>
      <c r="H453" s="515"/>
      <c r="I453" s="515"/>
      <c r="J453" s="515"/>
      <c r="K453" s="515"/>
      <c r="L453" s="515"/>
      <c r="M453" s="515"/>
      <c r="N453" s="143">
        <v>991</v>
      </c>
      <c r="O453" s="144">
        <v>1</v>
      </c>
      <c r="P453" s="144">
        <v>13</v>
      </c>
      <c r="Q453" s="145" t="s">
        <v>394</v>
      </c>
      <c r="R453" s="146" t="s">
        <v>41</v>
      </c>
      <c r="S453" s="500"/>
      <c r="T453" s="500"/>
      <c r="U453" s="164">
        <v>975.85199999999998</v>
      </c>
      <c r="V453" s="164">
        <v>0</v>
      </c>
      <c r="W453" s="164">
        <v>975.85199999999998</v>
      </c>
      <c r="X453" s="514"/>
      <c r="Y453" s="514"/>
      <c r="Z453" s="514"/>
      <c r="AA453" s="514"/>
      <c r="AB453" s="514"/>
      <c r="AC453" s="514"/>
      <c r="AD453" s="514"/>
      <c r="AE453" s="164"/>
      <c r="AF453" s="160"/>
      <c r="AG453" s="160">
        <v>281.5634</v>
      </c>
      <c r="AH453" s="170">
        <f t="shared" si="12"/>
        <v>28.85308427917348</v>
      </c>
    </row>
    <row r="454" spans="1:34" ht="32.25" customHeight="1" x14ac:dyDescent="0.2">
      <c r="A454" s="141"/>
      <c r="B454" s="515" t="s">
        <v>357</v>
      </c>
      <c r="C454" s="515"/>
      <c r="D454" s="515"/>
      <c r="E454" s="515"/>
      <c r="F454" s="515"/>
      <c r="G454" s="515"/>
      <c r="H454" s="515"/>
      <c r="I454" s="515"/>
      <c r="J454" s="515"/>
      <c r="K454" s="515"/>
      <c r="L454" s="515"/>
      <c r="M454" s="515"/>
      <c r="N454" s="143">
        <v>991</v>
      </c>
      <c r="O454" s="144">
        <v>1</v>
      </c>
      <c r="P454" s="144">
        <v>13</v>
      </c>
      <c r="Q454" s="145" t="s">
        <v>358</v>
      </c>
      <c r="R454" s="146">
        <v>0</v>
      </c>
      <c r="S454" s="500"/>
      <c r="T454" s="500"/>
      <c r="U454" s="164">
        <v>552.1</v>
      </c>
      <c r="V454" s="164">
        <v>0</v>
      </c>
      <c r="W454" s="164">
        <v>552.1</v>
      </c>
      <c r="X454" s="514"/>
      <c r="Y454" s="514"/>
      <c r="Z454" s="514"/>
      <c r="AA454" s="514"/>
      <c r="AB454" s="514"/>
      <c r="AC454" s="514"/>
      <c r="AD454" s="514"/>
      <c r="AE454" s="164"/>
      <c r="AF454" s="160"/>
      <c r="AG454" s="160">
        <f>+AG455+AG459</f>
        <v>103.52485999999999</v>
      </c>
      <c r="AH454" s="170">
        <f t="shared" si="12"/>
        <v>18.751106683571813</v>
      </c>
    </row>
    <row r="455" spans="1:34" ht="32.25" customHeight="1" x14ac:dyDescent="0.2">
      <c r="A455" s="141"/>
      <c r="B455" s="515" t="s">
        <v>397</v>
      </c>
      <c r="C455" s="515"/>
      <c r="D455" s="515"/>
      <c r="E455" s="515"/>
      <c r="F455" s="515"/>
      <c r="G455" s="515"/>
      <c r="H455" s="515"/>
      <c r="I455" s="515"/>
      <c r="J455" s="515"/>
      <c r="K455" s="515"/>
      <c r="L455" s="515"/>
      <c r="M455" s="515"/>
      <c r="N455" s="143">
        <v>991</v>
      </c>
      <c r="O455" s="144">
        <v>1</v>
      </c>
      <c r="P455" s="144">
        <v>13</v>
      </c>
      <c r="Q455" s="145" t="s">
        <v>398</v>
      </c>
      <c r="R455" s="146">
        <v>0</v>
      </c>
      <c r="S455" s="500"/>
      <c r="T455" s="500"/>
      <c r="U455" s="164">
        <v>1</v>
      </c>
      <c r="V455" s="164">
        <v>0</v>
      </c>
      <c r="W455" s="164">
        <v>1</v>
      </c>
      <c r="X455" s="514"/>
      <c r="Y455" s="514"/>
      <c r="Z455" s="514"/>
      <c r="AA455" s="514"/>
      <c r="AB455" s="514"/>
      <c r="AC455" s="514"/>
      <c r="AD455" s="514"/>
      <c r="AE455" s="164"/>
      <c r="AF455" s="160"/>
      <c r="AG455" s="160">
        <f>+AG456</f>
        <v>0</v>
      </c>
      <c r="AH455" s="170">
        <f t="shared" si="12"/>
        <v>0</v>
      </c>
    </row>
    <row r="456" spans="1:34" ht="21.75" customHeight="1" x14ac:dyDescent="0.2">
      <c r="A456" s="141"/>
      <c r="B456" s="515" t="s">
        <v>345</v>
      </c>
      <c r="C456" s="515"/>
      <c r="D456" s="515"/>
      <c r="E456" s="515"/>
      <c r="F456" s="515"/>
      <c r="G456" s="515"/>
      <c r="H456" s="515"/>
      <c r="I456" s="515"/>
      <c r="J456" s="515"/>
      <c r="K456" s="515"/>
      <c r="L456" s="515"/>
      <c r="M456" s="515"/>
      <c r="N456" s="143">
        <v>991</v>
      </c>
      <c r="O456" s="144">
        <v>1</v>
      </c>
      <c r="P456" s="144">
        <v>13</v>
      </c>
      <c r="Q456" s="145" t="s">
        <v>398</v>
      </c>
      <c r="R456" s="146" t="s">
        <v>24</v>
      </c>
      <c r="S456" s="500"/>
      <c r="T456" s="500"/>
      <c r="U456" s="164">
        <v>1</v>
      </c>
      <c r="V456" s="164">
        <v>0</v>
      </c>
      <c r="W456" s="164">
        <v>1</v>
      </c>
      <c r="X456" s="514"/>
      <c r="Y456" s="514"/>
      <c r="Z456" s="514"/>
      <c r="AA456" s="514"/>
      <c r="AB456" s="514"/>
      <c r="AC456" s="514"/>
      <c r="AD456" s="514"/>
      <c r="AE456" s="164"/>
      <c r="AF456" s="160"/>
      <c r="AG456" s="160">
        <f>+AG457</f>
        <v>0</v>
      </c>
      <c r="AH456" s="170">
        <f t="shared" si="12"/>
        <v>0</v>
      </c>
    </row>
    <row r="457" spans="1:34" ht="21.75" customHeight="1" x14ac:dyDescent="0.2">
      <c r="A457" s="141"/>
      <c r="B457" s="515" t="s">
        <v>346</v>
      </c>
      <c r="C457" s="515"/>
      <c r="D457" s="515"/>
      <c r="E457" s="515"/>
      <c r="F457" s="515"/>
      <c r="G457" s="515"/>
      <c r="H457" s="515"/>
      <c r="I457" s="515"/>
      <c r="J457" s="515"/>
      <c r="K457" s="515"/>
      <c r="L457" s="515"/>
      <c r="M457" s="515"/>
      <c r="N457" s="143">
        <v>991</v>
      </c>
      <c r="O457" s="144">
        <v>1</v>
      </c>
      <c r="P457" s="144">
        <v>13</v>
      </c>
      <c r="Q457" s="145" t="s">
        <v>398</v>
      </c>
      <c r="R457" s="146" t="s">
        <v>26</v>
      </c>
      <c r="S457" s="500"/>
      <c r="T457" s="500"/>
      <c r="U457" s="164">
        <v>1</v>
      </c>
      <c r="V457" s="164">
        <v>0</v>
      </c>
      <c r="W457" s="164">
        <v>1</v>
      </c>
      <c r="X457" s="514"/>
      <c r="Y457" s="514"/>
      <c r="Z457" s="514"/>
      <c r="AA457" s="514"/>
      <c r="AB457" s="514"/>
      <c r="AC457" s="514"/>
      <c r="AD457" s="514"/>
      <c r="AE457" s="164"/>
      <c r="AF457" s="160"/>
      <c r="AG457" s="160">
        <f>+AG458</f>
        <v>0</v>
      </c>
      <c r="AH457" s="170">
        <f t="shared" si="12"/>
        <v>0</v>
      </c>
    </row>
    <row r="458" spans="1:34" ht="12" customHeight="1" x14ac:dyDescent="0.2">
      <c r="A458" s="141"/>
      <c r="B458" s="515" t="s">
        <v>348</v>
      </c>
      <c r="C458" s="515"/>
      <c r="D458" s="515"/>
      <c r="E458" s="515"/>
      <c r="F458" s="515"/>
      <c r="G458" s="515"/>
      <c r="H458" s="515"/>
      <c r="I458" s="515"/>
      <c r="J458" s="515"/>
      <c r="K458" s="515"/>
      <c r="L458" s="515"/>
      <c r="M458" s="515"/>
      <c r="N458" s="143">
        <v>991</v>
      </c>
      <c r="O458" s="144">
        <v>1</v>
      </c>
      <c r="P458" s="144">
        <v>13</v>
      </c>
      <c r="Q458" s="145" t="s">
        <v>398</v>
      </c>
      <c r="R458" s="146" t="s">
        <v>28</v>
      </c>
      <c r="S458" s="500"/>
      <c r="T458" s="500"/>
      <c r="U458" s="164">
        <v>1</v>
      </c>
      <c r="V458" s="164">
        <v>0</v>
      </c>
      <c r="W458" s="164">
        <v>1</v>
      </c>
      <c r="X458" s="514"/>
      <c r="Y458" s="514"/>
      <c r="Z458" s="514"/>
      <c r="AA458" s="514"/>
      <c r="AB458" s="514"/>
      <c r="AC458" s="514"/>
      <c r="AD458" s="514"/>
      <c r="AE458" s="164"/>
      <c r="AF458" s="160"/>
      <c r="AG458" s="160"/>
      <c r="AH458" s="170">
        <f t="shared" si="12"/>
        <v>0</v>
      </c>
    </row>
    <row r="459" spans="1:34" ht="32.25" customHeight="1" x14ac:dyDescent="0.2">
      <c r="A459" s="141"/>
      <c r="B459" s="515" t="s">
        <v>399</v>
      </c>
      <c r="C459" s="515"/>
      <c r="D459" s="515"/>
      <c r="E459" s="515"/>
      <c r="F459" s="515"/>
      <c r="G459" s="515"/>
      <c r="H459" s="515"/>
      <c r="I459" s="515"/>
      <c r="J459" s="515"/>
      <c r="K459" s="515"/>
      <c r="L459" s="515"/>
      <c r="M459" s="515"/>
      <c r="N459" s="143">
        <v>991</v>
      </c>
      <c r="O459" s="144">
        <v>1</v>
      </c>
      <c r="P459" s="144">
        <v>13</v>
      </c>
      <c r="Q459" s="145" t="s">
        <v>400</v>
      </c>
      <c r="R459" s="146">
        <v>0</v>
      </c>
      <c r="S459" s="500"/>
      <c r="T459" s="500"/>
      <c r="U459" s="164">
        <v>551.1</v>
      </c>
      <c r="V459" s="164">
        <v>0</v>
      </c>
      <c r="W459" s="164">
        <v>551.1</v>
      </c>
      <c r="X459" s="514"/>
      <c r="Y459" s="514"/>
      <c r="Z459" s="514"/>
      <c r="AA459" s="514"/>
      <c r="AB459" s="514"/>
      <c r="AC459" s="514"/>
      <c r="AD459" s="514"/>
      <c r="AE459" s="164"/>
      <c r="AF459" s="160"/>
      <c r="AG459" s="160">
        <f>+AG460+AG464</f>
        <v>103.52485999999999</v>
      </c>
      <c r="AH459" s="170">
        <f t="shared" si="12"/>
        <v>18.785131555071672</v>
      </c>
    </row>
    <row r="460" spans="1:34" ht="53.25" customHeight="1" x14ac:dyDescent="0.2">
      <c r="A460" s="141"/>
      <c r="B460" s="515" t="s">
        <v>17</v>
      </c>
      <c r="C460" s="515"/>
      <c r="D460" s="515"/>
      <c r="E460" s="515"/>
      <c r="F460" s="515"/>
      <c r="G460" s="515"/>
      <c r="H460" s="515"/>
      <c r="I460" s="515"/>
      <c r="J460" s="515"/>
      <c r="K460" s="515"/>
      <c r="L460" s="515"/>
      <c r="M460" s="515"/>
      <c r="N460" s="143">
        <v>991</v>
      </c>
      <c r="O460" s="144">
        <v>1</v>
      </c>
      <c r="P460" s="144">
        <v>13</v>
      </c>
      <c r="Q460" s="145" t="s">
        <v>400</v>
      </c>
      <c r="R460" s="146" t="s">
        <v>18</v>
      </c>
      <c r="S460" s="500"/>
      <c r="T460" s="500"/>
      <c r="U460" s="164">
        <v>446.86700000000002</v>
      </c>
      <c r="V460" s="164">
        <v>0</v>
      </c>
      <c r="W460" s="164">
        <v>446.86700000000002</v>
      </c>
      <c r="X460" s="514"/>
      <c r="Y460" s="514"/>
      <c r="Z460" s="514"/>
      <c r="AA460" s="514"/>
      <c r="AB460" s="514"/>
      <c r="AC460" s="514"/>
      <c r="AD460" s="514"/>
      <c r="AE460" s="164"/>
      <c r="AF460" s="160"/>
      <c r="AG460" s="160">
        <f>+AG461</f>
        <v>101.02485999999999</v>
      </c>
      <c r="AH460" s="170">
        <f t="shared" si="12"/>
        <v>22.607366397608235</v>
      </c>
    </row>
    <row r="461" spans="1:34" ht="21.75" customHeight="1" x14ac:dyDescent="0.2">
      <c r="A461" s="141"/>
      <c r="B461" s="515" t="s">
        <v>37</v>
      </c>
      <c r="C461" s="515"/>
      <c r="D461" s="515"/>
      <c r="E461" s="515"/>
      <c r="F461" s="515"/>
      <c r="G461" s="515"/>
      <c r="H461" s="515"/>
      <c r="I461" s="515"/>
      <c r="J461" s="515"/>
      <c r="K461" s="515"/>
      <c r="L461" s="515"/>
      <c r="M461" s="515"/>
      <c r="N461" s="143">
        <v>991</v>
      </c>
      <c r="O461" s="144">
        <v>1</v>
      </c>
      <c r="P461" s="144">
        <v>13</v>
      </c>
      <c r="Q461" s="145" t="s">
        <v>400</v>
      </c>
      <c r="R461" s="146" t="s">
        <v>38</v>
      </c>
      <c r="S461" s="500"/>
      <c r="T461" s="500"/>
      <c r="U461" s="164">
        <v>446.86700000000002</v>
      </c>
      <c r="V461" s="164">
        <v>0</v>
      </c>
      <c r="W461" s="164">
        <v>446.86700000000002</v>
      </c>
      <c r="X461" s="514"/>
      <c r="Y461" s="514"/>
      <c r="Z461" s="514"/>
      <c r="AA461" s="514"/>
      <c r="AB461" s="514"/>
      <c r="AC461" s="514"/>
      <c r="AD461" s="514"/>
      <c r="AE461" s="164"/>
      <c r="AF461" s="160"/>
      <c r="AG461" s="160">
        <f>+AG462+AG463</f>
        <v>101.02485999999999</v>
      </c>
      <c r="AH461" s="170">
        <f t="shared" si="12"/>
        <v>22.607366397608235</v>
      </c>
    </row>
    <row r="462" spans="1:34" ht="21.75" customHeight="1" x14ac:dyDescent="0.2">
      <c r="A462" s="141"/>
      <c r="B462" s="515" t="s">
        <v>333</v>
      </c>
      <c r="C462" s="515"/>
      <c r="D462" s="515"/>
      <c r="E462" s="515"/>
      <c r="F462" s="515"/>
      <c r="G462" s="515"/>
      <c r="H462" s="515"/>
      <c r="I462" s="515"/>
      <c r="J462" s="515"/>
      <c r="K462" s="515"/>
      <c r="L462" s="515"/>
      <c r="M462" s="515"/>
      <c r="N462" s="143">
        <v>991</v>
      </c>
      <c r="O462" s="144">
        <v>1</v>
      </c>
      <c r="P462" s="144">
        <v>13</v>
      </c>
      <c r="Q462" s="145" t="s">
        <v>400</v>
      </c>
      <c r="R462" s="146" t="s">
        <v>39</v>
      </c>
      <c r="S462" s="500"/>
      <c r="T462" s="500"/>
      <c r="U462" s="164">
        <v>343.21600000000001</v>
      </c>
      <c r="V462" s="164">
        <v>0</v>
      </c>
      <c r="W462" s="164">
        <v>343.21600000000001</v>
      </c>
      <c r="X462" s="514"/>
      <c r="Y462" s="514"/>
      <c r="Z462" s="514"/>
      <c r="AA462" s="514"/>
      <c r="AB462" s="514"/>
      <c r="AC462" s="514"/>
      <c r="AD462" s="514"/>
      <c r="AE462" s="164"/>
      <c r="AF462" s="160"/>
      <c r="AG462" s="160">
        <v>78.009569999999997</v>
      </c>
      <c r="AH462" s="170">
        <f t="shared" si="12"/>
        <v>22.729001561698752</v>
      </c>
    </row>
    <row r="463" spans="1:34" ht="32.25" customHeight="1" x14ac:dyDescent="0.2">
      <c r="A463" s="141"/>
      <c r="B463" s="515" t="s">
        <v>334</v>
      </c>
      <c r="C463" s="515"/>
      <c r="D463" s="515"/>
      <c r="E463" s="515"/>
      <c r="F463" s="515"/>
      <c r="G463" s="515"/>
      <c r="H463" s="515"/>
      <c r="I463" s="515"/>
      <c r="J463" s="515"/>
      <c r="K463" s="515"/>
      <c r="L463" s="515"/>
      <c r="M463" s="515"/>
      <c r="N463" s="143">
        <v>991</v>
      </c>
      <c r="O463" s="144">
        <v>1</v>
      </c>
      <c r="P463" s="144">
        <v>13</v>
      </c>
      <c r="Q463" s="145" t="s">
        <v>400</v>
      </c>
      <c r="R463" s="146" t="s">
        <v>41</v>
      </c>
      <c r="S463" s="500"/>
      <c r="T463" s="500"/>
      <c r="U463" s="164">
        <v>103.651</v>
      </c>
      <c r="V463" s="164">
        <v>0</v>
      </c>
      <c r="W463" s="164">
        <v>103.651</v>
      </c>
      <c r="X463" s="514"/>
      <c r="Y463" s="514"/>
      <c r="Z463" s="514"/>
      <c r="AA463" s="514"/>
      <c r="AB463" s="514"/>
      <c r="AC463" s="514"/>
      <c r="AD463" s="514"/>
      <c r="AE463" s="164"/>
      <c r="AF463" s="160"/>
      <c r="AG463" s="160">
        <v>23.01529</v>
      </c>
      <c r="AH463" s="170">
        <f t="shared" si="12"/>
        <v>22.204600052097906</v>
      </c>
    </row>
    <row r="464" spans="1:34" ht="21.75" customHeight="1" x14ac:dyDescent="0.2">
      <c r="A464" s="141"/>
      <c r="B464" s="515" t="s">
        <v>345</v>
      </c>
      <c r="C464" s="515"/>
      <c r="D464" s="515"/>
      <c r="E464" s="515"/>
      <c r="F464" s="515"/>
      <c r="G464" s="515"/>
      <c r="H464" s="515"/>
      <c r="I464" s="515"/>
      <c r="J464" s="515"/>
      <c r="K464" s="515"/>
      <c r="L464" s="515"/>
      <c r="M464" s="515"/>
      <c r="N464" s="143">
        <v>991</v>
      </c>
      <c r="O464" s="144">
        <v>1</v>
      </c>
      <c r="P464" s="144">
        <v>13</v>
      </c>
      <c r="Q464" s="145" t="s">
        <v>400</v>
      </c>
      <c r="R464" s="146" t="s">
        <v>24</v>
      </c>
      <c r="S464" s="500"/>
      <c r="T464" s="500"/>
      <c r="U464" s="164">
        <v>104.233</v>
      </c>
      <c r="V464" s="164">
        <v>0</v>
      </c>
      <c r="W464" s="164">
        <v>104.233</v>
      </c>
      <c r="X464" s="514"/>
      <c r="Y464" s="514"/>
      <c r="Z464" s="514"/>
      <c r="AA464" s="514"/>
      <c r="AB464" s="514"/>
      <c r="AC464" s="514"/>
      <c r="AD464" s="514"/>
      <c r="AE464" s="164"/>
      <c r="AF464" s="160"/>
      <c r="AG464" s="160">
        <f>+AG465</f>
        <v>2.5</v>
      </c>
      <c r="AH464" s="170">
        <f t="shared" si="12"/>
        <v>2.3984726526148146</v>
      </c>
    </row>
    <row r="465" spans="1:34" ht="21.75" customHeight="1" x14ac:dyDescent="0.2">
      <c r="A465" s="141"/>
      <c r="B465" s="515" t="s">
        <v>346</v>
      </c>
      <c r="C465" s="515"/>
      <c r="D465" s="515"/>
      <c r="E465" s="515"/>
      <c r="F465" s="515"/>
      <c r="G465" s="515"/>
      <c r="H465" s="515"/>
      <c r="I465" s="515"/>
      <c r="J465" s="515"/>
      <c r="K465" s="515"/>
      <c r="L465" s="515"/>
      <c r="M465" s="515"/>
      <c r="N465" s="143">
        <v>991</v>
      </c>
      <c r="O465" s="144">
        <v>1</v>
      </c>
      <c r="P465" s="144">
        <v>13</v>
      </c>
      <c r="Q465" s="145" t="s">
        <v>400</v>
      </c>
      <c r="R465" s="146" t="s">
        <v>26</v>
      </c>
      <c r="S465" s="500"/>
      <c r="T465" s="500"/>
      <c r="U465" s="164">
        <v>104.233</v>
      </c>
      <c r="V465" s="164">
        <v>0</v>
      </c>
      <c r="W465" s="164">
        <v>104.233</v>
      </c>
      <c r="X465" s="514"/>
      <c r="Y465" s="514"/>
      <c r="Z465" s="514"/>
      <c r="AA465" s="514"/>
      <c r="AB465" s="514"/>
      <c r="AC465" s="514"/>
      <c r="AD465" s="514"/>
      <c r="AE465" s="164"/>
      <c r="AF465" s="160"/>
      <c r="AG465" s="160">
        <f>+AG466+AG467</f>
        <v>2.5</v>
      </c>
      <c r="AH465" s="170">
        <f t="shared" si="12"/>
        <v>2.3984726526148146</v>
      </c>
    </row>
    <row r="466" spans="1:34" ht="21.75" customHeight="1" x14ac:dyDescent="0.2">
      <c r="A466" s="141"/>
      <c r="B466" s="515" t="s">
        <v>347</v>
      </c>
      <c r="C466" s="515"/>
      <c r="D466" s="515"/>
      <c r="E466" s="515"/>
      <c r="F466" s="515"/>
      <c r="G466" s="515"/>
      <c r="H466" s="515"/>
      <c r="I466" s="515"/>
      <c r="J466" s="515"/>
      <c r="K466" s="515"/>
      <c r="L466" s="515"/>
      <c r="M466" s="515"/>
      <c r="N466" s="143">
        <v>991</v>
      </c>
      <c r="O466" s="144">
        <v>1</v>
      </c>
      <c r="P466" s="144">
        <v>13</v>
      </c>
      <c r="Q466" s="145" t="s">
        <v>400</v>
      </c>
      <c r="R466" s="146" t="s">
        <v>27</v>
      </c>
      <c r="S466" s="500"/>
      <c r="T466" s="500"/>
      <c r="U466" s="164">
        <v>5</v>
      </c>
      <c r="V466" s="164">
        <v>0</v>
      </c>
      <c r="W466" s="164">
        <v>5</v>
      </c>
      <c r="X466" s="514"/>
      <c r="Y466" s="514"/>
      <c r="Z466" s="514"/>
      <c r="AA466" s="514"/>
      <c r="AB466" s="514"/>
      <c r="AC466" s="514"/>
      <c r="AD466" s="514"/>
      <c r="AE466" s="164"/>
      <c r="AF466" s="160"/>
      <c r="AG466" s="160"/>
      <c r="AH466" s="170">
        <f t="shared" si="12"/>
        <v>0</v>
      </c>
    </row>
    <row r="467" spans="1:34" ht="12" customHeight="1" x14ac:dyDescent="0.2">
      <c r="A467" s="141"/>
      <c r="B467" s="515" t="s">
        <v>348</v>
      </c>
      <c r="C467" s="515"/>
      <c r="D467" s="515"/>
      <c r="E467" s="515"/>
      <c r="F467" s="515"/>
      <c r="G467" s="515"/>
      <c r="H467" s="515"/>
      <c r="I467" s="515"/>
      <c r="J467" s="515"/>
      <c r="K467" s="515"/>
      <c r="L467" s="515"/>
      <c r="M467" s="515"/>
      <c r="N467" s="143">
        <v>991</v>
      </c>
      <c r="O467" s="144">
        <v>1</v>
      </c>
      <c r="P467" s="144">
        <v>13</v>
      </c>
      <c r="Q467" s="145" t="s">
        <v>400</v>
      </c>
      <c r="R467" s="146" t="s">
        <v>28</v>
      </c>
      <c r="S467" s="500"/>
      <c r="T467" s="500"/>
      <c r="U467" s="164">
        <v>99.233000000000004</v>
      </c>
      <c r="V467" s="164">
        <v>0</v>
      </c>
      <c r="W467" s="164">
        <v>99.233000000000004</v>
      </c>
      <c r="X467" s="514"/>
      <c r="Y467" s="514"/>
      <c r="Z467" s="514"/>
      <c r="AA467" s="514"/>
      <c r="AB467" s="514"/>
      <c r="AC467" s="514"/>
      <c r="AD467" s="514"/>
      <c r="AE467" s="164"/>
      <c r="AF467" s="160"/>
      <c r="AG467" s="160">
        <v>2.5</v>
      </c>
      <c r="AH467" s="170">
        <f t="shared" si="12"/>
        <v>2.5193232090131303</v>
      </c>
    </row>
    <row r="468" spans="1:34" ht="12" customHeight="1" x14ac:dyDescent="0.2">
      <c r="A468" s="141"/>
      <c r="B468" s="515" t="s">
        <v>401</v>
      </c>
      <c r="C468" s="515"/>
      <c r="D468" s="515"/>
      <c r="E468" s="515"/>
      <c r="F468" s="515"/>
      <c r="G468" s="515"/>
      <c r="H468" s="515"/>
      <c r="I468" s="515"/>
      <c r="J468" s="515"/>
      <c r="K468" s="515"/>
      <c r="L468" s="515"/>
      <c r="M468" s="515"/>
      <c r="N468" s="143">
        <v>991</v>
      </c>
      <c r="O468" s="144">
        <v>2</v>
      </c>
      <c r="P468" s="144">
        <v>0</v>
      </c>
      <c r="Q468" s="145">
        <v>0</v>
      </c>
      <c r="R468" s="146">
        <v>0</v>
      </c>
      <c r="S468" s="500"/>
      <c r="T468" s="500"/>
      <c r="U468" s="164">
        <v>414.1</v>
      </c>
      <c r="V468" s="164">
        <v>0</v>
      </c>
      <c r="W468" s="164">
        <v>414.1</v>
      </c>
      <c r="X468" s="514"/>
      <c r="Y468" s="514"/>
      <c r="Z468" s="514"/>
      <c r="AA468" s="514"/>
      <c r="AB468" s="514"/>
      <c r="AC468" s="514"/>
      <c r="AD468" s="514"/>
      <c r="AE468" s="164"/>
      <c r="AF468" s="160"/>
      <c r="AG468" s="160">
        <f>+AG469</f>
        <v>92.769959999999998</v>
      </c>
      <c r="AH468" s="170">
        <f t="shared" si="12"/>
        <v>22.402791596232792</v>
      </c>
    </row>
    <row r="469" spans="1:34" ht="12" customHeight="1" x14ac:dyDescent="0.2">
      <c r="A469" s="141"/>
      <c r="B469" s="515" t="s">
        <v>89</v>
      </c>
      <c r="C469" s="515"/>
      <c r="D469" s="515"/>
      <c r="E469" s="515"/>
      <c r="F469" s="515"/>
      <c r="G469" s="515"/>
      <c r="H469" s="515"/>
      <c r="I469" s="515"/>
      <c r="J469" s="515"/>
      <c r="K469" s="515"/>
      <c r="L469" s="515"/>
      <c r="M469" s="515"/>
      <c r="N469" s="143">
        <v>991</v>
      </c>
      <c r="O469" s="144">
        <v>2</v>
      </c>
      <c r="P469" s="144">
        <v>3</v>
      </c>
      <c r="Q469" s="145">
        <v>0</v>
      </c>
      <c r="R469" s="146">
        <v>0</v>
      </c>
      <c r="S469" s="500"/>
      <c r="T469" s="500"/>
      <c r="U469" s="164">
        <v>414.1</v>
      </c>
      <c r="V469" s="164">
        <v>0</v>
      </c>
      <c r="W469" s="164">
        <v>414.1</v>
      </c>
      <c r="X469" s="514"/>
      <c r="Y469" s="514"/>
      <c r="Z469" s="514"/>
      <c r="AA469" s="514"/>
      <c r="AB469" s="514"/>
      <c r="AC469" s="514"/>
      <c r="AD469" s="514"/>
      <c r="AE469" s="164"/>
      <c r="AF469" s="160"/>
      <c r="AG469" s="160">
        <f>+AG470</f>
        <v>92.769959999999998</v>
      </c>
      <c r="AH469" s="170">
        <f t="shared" si="12"/>
        <v>22.402791596232792</v>
      </c>
    </row>
    <row r="470" spans="1:34" ht="32.25" customHeight="1" x14ac:dyDescent="0.2">
      <c r="A470" s="141"/>
      <c r="B470" s="515" t="s">
        <v>357</v>
      </c>
      <c r="C470" s="515"/>
      <c r="D470" s="515"/>
      <c r="E470" s="515"/>
      <c r="F470" s="515"/>
      <c r="G470" s="515"/>
      <c r="H470" s="515"/>
      <c r="I470" s="515"/>
      <c r="J470" s="515"/>
      <c r="K470" s="515"/>
      <c r="L470" s="515"/>
      <c r="M470" s="515"/>
      <c r="N470" s="143">
        <v>991</v>
      </c>
      <c r="O470" s="144">
        <v>2</v>
      </c>
      <c r="P470" s="144">
        <v>3</v>
      </c>
      <c r="Q470" s="145" t="s">
        <v>358</v>
      </c>
      <c r="R470" s="146">
        <v>0</v>
      </c>
      <c r="S470" s="500"/>
      <c r="T470" s="500"/>
      <c r="U470" s="164">
        <v>414.1</v>
      </c>
      <c r="V470" s="164">
        <v>0</v>
      </c>
      <c r="W470" s="164">
        <v>414.1</v>
      </c>
      <c r="X470" s="514"/>
      <c r="Y470" s="514"/>
      <c r="Z470" s="514"/>
      <c r="AA470" s="514"/>
      <c r="AB470" s="514"/>
      <c r="AC470" s="514"/>
      <c r="AD470" s="514"/>
      <c r="AE470" s="164"/>
      <c r="AF470" s="160"/>
      <c r="AG470" s="160">
        <f>+AG471</f>
        <v>92.769959999999998</v>
      </c>
      <c r="AH470" s="170">
        <f t="shared" si="12"/>
        <v>22.402791596232792</v>
      </c>
    </row>
    <row r="471" spans="1:34" ht="32.25" customHeight="1" x14ac:dyDescent="0.2">
      <c r="A471" s="141"/>
      <c r="B471" s="515" t="s">
        <v>402</v>
      </c>
      <c r="C471" s="515"/>
      <c r="D471" s="515"/>
      <c r="E471" s="515"/>
      <c r="F471" s="515"/>
      <c r="G471" s="515"/>
      <c r="H471" s="515"/>
      <c r="I471" s="515"/>
      <c r="J471" s="515"/>
      <c r="K471" s="515"/>
      <c r="L471" s="515"/>
      <c r="M471" s="515"/>
      <c r="N471" s="143">
        <v>991</v>
      </c>
      <c r="O471" s="144">
        <v>2</v>
      </c>
      <c r="P471" s="144">
        <v>3</v>
      </c>
      <c r="Q471" s="145" t="s">
        <v>403</v>
      </c>
      <c r="R471" s="146">
        <v>0</v>
      </c>
      <c r="S471" s="500"/>
      <c r="T471" s="500"/>
      <c r="U471" s="164">
        <v>414.1</v>
      </c>
      <c r="V471" s="164">
        <v>0</v>
      </c>
      <c r="W471" s="164">
        <v>414.1</v>
      </c>
      <c r="X471" s="514"/>
      <c r="Y471" s="514"/>
      <c r="Z471" s="514"/>
      <c r="AA471" s="514"/>
      <c r="AB471" s="514"/>
      <c r="AC471" s="514"/>
      <c r="AD471" s="514"/>
      <c r="AE471" s="164"/>
      <c r="AF471" s="160"/>
      <c r="AG471" s="160">
        <f>+AG472+AG476</f>
        <v>92.769959999999998</v>
      </c>
      <c r="AH471" s="170">
        <f t="shared" ref="AH471:AH534" si="13">AG471/U471*100</f>
        <v>22.402791596232792</v>
      </c>
    </row>
    <row r="472" spans="1:34" ht="53.25" customHeight="1" x14ac:dyDescent="0.2">
      <c r="A472" s="141"/>
      <c r="B472" s="515" t="s">
        <v>17</v>
      </c>
      <c r="C472" s="515"/>
      <c r="D472" s="515"/>
      <c r="E472" s="515"/>
      <c r="F472" s="515"/>
      <c r="G472" s="515"/>
      <c r="H472" s="515"/>
      <c r="I472" s="515"/>
      <c r="J472" s="515"/>
      <c r="K472" s="515"/>
      <c r="L472" s="515"/>
      <c r="M472" s="515"/>
      <c r="N472" s="143">
        <v>991</v>
      </c>
      <c r="O472" s="144">
        <v>2</v>
      </c>
      <c r="P472" s="144">
        <v>3</v>
      </c>
      <c r="Q472" s="145" t="s">
        <v>403</v>
      </c>
      <c r="R472" s="146" t="s">
        <v>18</v>
      </c>
      <c r="S472" s="500"/>
      <c r="T472" s="500"/>
      <c r="U472" s="164">
        <v>368</v>
      </c>
      <c r="V472" s="164">
        <v>0</v>
      </c>
      <c r="W472" s="164">
        <v>368</v>
      </c>
      <c r="X472" s="514"/>
      <c r="Y472" s="514"/>
      <c r="Z472" s="514"/>
      <c r="AA472" s="514"/>
      <c r="AB472" s="514"/>
      <c r="AC472" s="514"/>
      <c r="AD472" s="514"/>
      <c r="AE472" s="164"/>
      <c r="AF472" s="160"/>
      <c r="AG472" s="160">
        <f>+AG473</f>
        <v>92.769959999999998</v>
      </c>
      <c r="AH472" s="170">
        <f t="shared" si="13"/>
        <v>25.209228260869565</v>
      </c>
    </row>
    <row r="473" spans="1:34" ht="21.75" customHeight="1" x14ac:dyDescent="0.2">
      <c r="A473" s="141"/>
      <c r="B473" s="515" t="s">
        <v>37</v>
      </c>
      <c r="C473" s="515"/>
      <c r="D473" s="515"/>
      <c r="E473" s="515"/>
      <c r="F473" s="515"/>
      <c r="G473" s="515"/>
      <c r="H473" s="515"/>
      <c r="I473" s="515"/>
      <c r="J473" s="515"/>
      <c r="K473" s="515"/>
      <c r="L473" s="515"/>
      <c r="M473" s="515"/>
      <c r="N473" s="143">
        <v>991</v>
      </c>
      <c r="O473" s="144">
        <v>2</v>
      </c>
      <c r="P473" s="144">
        <v>3</v>
      </c>
      <c r="Q473" s="145" t="s">
        <v>403</v>
      </c>
      <c r="R473" s="146" t="s">
        <v>38</v>
      </c>
      <c r="S473" s="500"/>
      <c r="T473" s="500"/>
      <c r="U473" s="164">
        <v>368</v>
      </c>
      <c r="V473" s="164">
        <v>0</v>
      </c>
      <c r="W473" s="164">
        <v>368</v>
      </c>
      <c r="X473" s="514"/>
      <c r="Y473" s="514"/>
      <c r="Z473" s="514"/>
      <c r="AA473" s="514"/>
      <c r="AB473" s="514"/>
      <c r="AC473" s="514"/>
      <c r="AD473" s="514"/>
      <c r="AE473" s="164"/>
      <c r="AF473" s="160"/>
      <c r="AG473" s="160">
        <f>+AG474+AG475</f>
        <v>92.769959999999998</v>
      </c>
      <c r="AH473" s="170">
        <f t="shared" si="13"/>
        <v>25.209228260869565</v>
      </c>
    </row>
    <row r="474" spans="1:34" ht="21.75" customHeight="1" x14ac:dyDescent="0.2">
      <c r="A474" s="141"/>
      <c r="B474" s="515" t="s">
        <v>333</v>
      </c>
      <c r="C474" s="515"/>
      <c r="D474" s="515"/>
      <c r="E474" s="515"/>
      <c r="F474" s="515"/>
      <c r="G474" s="515"/>
      <c r="H474" s="515"/>
      <c r="I474" s="515"/>
      <c r="J474" s="515"/>
      <c r="K474" s="515"/>
      <c r="L474" s="515"/>
      <c r="M474" s="515"/>
      <c r="N474" s="143">
        <v>991</v>
      </c>
      <c r="O474" s="144">
        <v>2</v>
      </c>
      <c r="P474" s="144">
        <v>3</v>
      </c>
      <c r="Q474" s="145" t="s">
        <v>403</v>
      </c>
      <c r="R474" s="146" t="s">
        <v>39</v>
      </c>
      <c r="S474" s="500"/>
      <c r="T474" s="500"/>
      <c r="U474" s="164">
        <v>282.64</v>
      </c>
      <c r="V474" s="164">
        <v>0</v>
      </c>
      <c r="W474" s="164">
        <v>282.64</v>
      </c>
      <c r="X474" s="514"/>
      <c r="Y474" s="514"/>
      <c r="Z474" s="514"/>
      <c r="AA474" s="514"/>
      <c r="AB474" s="514"/>
      <c r="AC474" s="514"/>
      <c r="AD474" s="514"/>
      <c r="AE474" s="164"/>
      <c r="AF474" s="160"/>
      <c r="AG474" s="160">
        <v>71.251890000000003</v>
      </c>
      <c r="AH474" s="170">
        <f t="shared" si="13"/>
        <v>25.20941480328333</v>
      </c>
    </row>
    <row r="475" spans="1:34" ht="32.25" customHeight="1" x14ac:dyDescent="0.2">
      <c r="A475" s="141"/>
      <c r="B475" s="515" t="s">
        <v>334</v>
      </c>
      <c r="C475" s="515"/>
      <c r="D475" s="515"/>
      <c r="E475" s="515"/>
      <c r="F475" s="515"/>
      <c r="G475" s="515"/>
      <c r="H475" s="515"/>
      <c r="I475" s="515"/>
      <c r="J475" s="515"/>
      <c r="K475" s="515"/>
      <c r="L475" s="515"/>
      <c r="M475" s="515"/>
      <c r="N475" s="143">
        <v>991</v>
      </c>
      <c r="O475" s="144">
        <v>2</v>
      </c>
      <c r="P475" s="144">
        <v>3</v>
      </c>
      <c r="Q475" s="145" t="s">
        <v>403</v>
      </c>
      <c r="R475" s="146" t="s">
        <v>41</v>
      </c>
      <c r="S475" s="500"/>
      <c r="T475" s="500"/>
      <c r="U475" s="164">
        <v>85.36</v>
      </c>
      <c r="V475" s="164">
        <v>0</v>
      </c>
      <c r="W475" s="164">
        <v>85.36</v>
      </c>
      <c r="X475" s="514"/>
      <c r="Y475" s="514"/>
      <c r="Z475" s="514"/>
      <c r="AA475" s="514"/>
      <c r="AB475" s="514"/>
      <c r="AC475" s="514"/>
      <c r="AD475" s="514"/>
      <c r="AE475" s="164"/>
      <c r="AF475" s="160"/>
      <c r="AG475" s="160">
        <v>21.518070000000002</v>
      </c>
      <c r="AH475" s="170">
        <f t="shared" si="13"/>
        <v>25.20861059044049</v>
      </c>
    </row>
    <row r="476" spans="1:34" ht="21.75" customHeight="1" x14ac:dyDescent="0.2">
      <c r="A476" s="141"/>
      <c r="B476" s="515" t="s">
        <v>345</v>
      </c>
      <c r="C476" s="515"/>
      <c r="D476" s="515"/>
      <c r="E476" s="515"/>
      <c r="F476" s="515"/>
      <c r="G476" s="515"/>
      <c r="H476" s="515"/>
      <c r="I476" s="515"/>
      <c r="J476" s="515"/>
      <c r="K476" s="515"/>
      <c r="L476" s="515"/>
      <c r="M476" s="515"/>
      <c r="N476" s="143">
        <v>991</v>
      </c>
      <c r="O476" s="144">
        <v>2</v>
      </c>
      <c r="P476" s="144">
        <v>3</v>
      </c>
      <c r="Q476" s="145" t="s">
        <v>403</v>
      </c>
      <c r="R476" s="146" t="s">
        <v>24</v>
      </c>
      <c r="S476" s="500"/>
      <c r="T476" s="500"/>
      <c r="U476" s="164">
        <v>46.1</v>
      </c>
      <c r="V476" s="164">
        <v>0</v>
      </c>
      <c r="W476" s="164">
        <v>46.1</v>
      </c>
      <c r="X476" s="514"/>
      <c r="Y476" s="514"/>
      <c r="Z476" s="514"/>
      <c r="AA476" s="514"/>
      <c r="AB476" s="514"/>
      <c r="AC476" s="514"/>
      <c r="AD476" s="514"/>
      <c r="AE476" s="164"/>
      <c r="AF476" s="160"/>
      <c r="AG476" s="160">
        <f>+AG477</f>
        <v>0</v>
      </c>
      <c r="AH476" s="170">
        <f t="shared" si="13"/>
        <v>0</v>
      </c>
    </row>
    <row r="477" spans="1:34" ht="21.75" customHeight="1" x14ac:dyDescent="0.2">
      <c r="A477" s="141"/>
      <c r="B477" s="515" t="s">
        <v>346</v>
      </c>
      <c r="C477" s="515"/>
      <c r="D477" s="515"/>
      <c r="E477" s="515"/>
      <c r="F477" s="515"/>
      <c r="G477" s="515"/>
      <c r="H477" s="515"/>
      <c r="I477" s="515"/>
      <c r="J477" s="515"/>
      <c r="K477" s="515"/>
      <c r="L477" s="515"/>
      <c r="M477" s="515"/>
      <c r="N477" s="143">
        <v>991</v>
      </c>
      <c r="O477" s="144">
        <v>2</v>
      </c>
      <c r="P477" s="144">
        <v>3</v>
      </c>
      <c r="Q477" s="145" t="s">
        <v>403</v>
      </c>
      <c r="R477" s="146" t="s">
        <v>26</v>
      </c>
      <c r="S477" s="500"/>
      <c r="T477" s="500"/>
      <c r="U477" s="164">
        <v>46.1</v>
      </c>
      <c r="V477" s="164">
        <v>0</v>
      </c>
      <c r="W477" s="164">
        <v>46.1</v>
      </c>
      <c r="X477" s="514"/>
      <c r="Y477" s="514"/>
      <c r="Z477" s="514"/>
      <c r="AA477" s="514"/>
      <c r="AB477" s="514"/>
      <c r="AC477" s="514"/>
      <c r="AD477" s="514"/>
      <c r="AE477" s="164"/>
      <c r="AF477" s="160"/>
      <c r="AG477" s="160">
        <f>+AG478</f>
        <v>0</v>
      </c>
      <c r="AH477" s="170">
        <f t="shared" si="13"/>
        <v>0</v>
      </c>
    </row>
    <row r="478" spans="1:34" ht="12" customHeight="1" x14ac:dyDescent="0.2">
      <c r="A478" s="141"/>
      <c r="B478" s="515" t="s">
        <v>348</v>
      </c>
      <c r="C478" s="515"/>
      <c r="D478" s="515"/>
      <c r="E478" s="515"/>
      <c r="F478" s="515"/>
      <c r="G478" s="515"/>
      <c r="H478" s="515"/>
      <c r="I478" s="515"/>
      <c r="J478" s="515"/>
      <c r="K478" s="515"/>
      <c r="L478" s="515"/>
      <c r="M478" s="515"/>
      <c r="N478" s="143">
        <v>991</v>
      </c>
      <c r="O478" s="144">
        <v>2</v>
      </c>
      <c r="P478" s="144">
        <v>3</v>
      </c>
      <c r="Q478" s="145" t="s">
        <v>403</v>
      </c>
      <c r="R478" s="146" t="s">
        <v>28</v>
      </c>
      <c r="S478" s="500"/>
      <c r="T478" s="500"/>
      <c r="U478" s="164">
        <v>46.1</v>
      </c>
      <c r="V478" s="164">
        <v>0</v>
      </c>
      <c r="W478" s="164">
        <v>46.1</v>
      </c>
      <c r="X478" s="514"/>
      <c r="Y478" s="514"/>
      <c r="Z478" s="514"/>
      <c r="AA478" s="514"/>
      <c r="AB478" s="514"/>
      <c r="AC478" s="514"/>
      <c r="AD478" s="514"/>
      <c r="AE478" s="164"/>
      <c r="AF478" s="160"/>
      <c r="AG478" s="160"/>
      <c r="AH478" s="170">
        <f t="shared" si="13"/>
        <v>0</v>
      </c>
    </row>
    <row r="479" spans="1:34" ht="21.75" customHeight="1" x14ac:dyDescent="0.2">
      <c r="A479" s="141"/>
      <c r="B479" s="515" t="s">
        <v>407</v>
      </c>
      <c r="C479" s="515"/>
      <c r="D479" s="515"/>
      <c r="E479" s="515"/>
      <c r="F479" s="515"/>
      <c r="G479" s="515"/>
      <c r="H479" s="515"/>
      <c r="I479" s="515"/>
      <c r="J479" s="515"/>
      <c r="K479" s="515"/>
      <c r="L479" s="515"/>
      <c r="M479" s="515"/>
      <c r="N479" s="143">
        <v>991</v>
      </c>
      <c r="O479" s="144">
        <v>3</v>
      </c>
      <c r="P479" s="144">
        <v>0</v>
      </c>
      <c r="Q479" s="145">
        <v>0</v>
      </c>
      <c r="R479" s="146">
        <v>0</v>
      </c>
      <c r="S479" s="500"/>
      <c r="T479" s="500"/>
      <c r="U479" s="164">
        <v>1733.8789999999999</v>
      </c>
      <c r="V479" s="164">
        <v>0</v>
      </c>
      <c r="W479" s="164">
        <v>1733.8789999999999</v>
      </c>
      <c r="X479" s="514"/>
      <c r="Y479" s="514"/>
      <c r="Z479" s="514"/>
      <c r="AA479" s="514"/>
      <c r="AB479" s="514"/>
      <c r="AC479" s="514"/>
      <c r="AD479" s="514"/>
      <c r="AE479" s="164"/>
      <c r="AF479" s="160"/>
      <c r="AG479" s="160">
        <f>+AG480+AG491</f>
        <v>312.08812999999998</v>
      </c>
      <c r="AH479" s="170">
        <f t="shared" si="13"/>
        <v>17.999418067812115</v>
      </c>
    </row>
    <row r="480" spans="1:34" ht="32.25" customHeight="1" x14ac:dyDescent="0.2">
      <c r="A480" s="141"/>
      <c r="B480" s="515" t="s">
        <v>408</v>
      </c>
      <c r="C480" s="515"/>
      <c r="D480" s="515"/>
      <c r="E480" s="515"/>
      <c r="F480" s="515"/>
      <c r="G480" s="515"/>
      <c r="H480" s="515"/>
      <c r="I480" s="515"/>
      <c r="J480" s="515"/>
      <c r="K480" s="515"/>
      <c r="L480" s="515"/>
      <c r="M480" s="515"/>
      <c r="N480" s="143">
        <v>991</v>
      </c>
      <c r="O480" s="144">
        <v>3</v>
      </c>
      <c r="P480" s="144">
        <v>9</v>
      </c>
      <c r="Q480" s="145">
        <v>0</v>
      </c>
      <c r="R480" s="146">
        <v>0</v>
      </c>
      <c r="S480" s="500"/>
      <c r="T480" s="500"/>
      <c r="U480" s="164">
        <v>1591.8789999999999</v>
      </c>
      <c r="V480" s="164">
        <v>0</v>
      </c>
      <c r="W480" s="164">
        <v>1591.8789999999999</v>
      </c>
      <c r="X480" s="514"/>
      <c r="Y480" s="514"/>
      <c r="Z480" s="514"/>
      <c r="AA480" s="514"/>
      <c r="AB480" s="514"/>
      <c r="AC480" s="514"/>
      <c r="AD480" s="514"/>
      <c r="AE480" s="164"/>
      <c r="AF480" s="160"/>
      <c r="AG480" s="160">
        <f>+AG481</f>
        <v>312.08812999999998</v>
      </c>
      <c r="AH480" s="170">
        <f t="shared" si="13"/>
        <v>19.605015833489855</v>
      </c>
    </row>
    <row r="481" spans="1:34" ht="21.75" customHeight="1" x14ac:dyDescent="0.2">
      <c r="A481" s="141"/>
      <c r="B481" s="515" t="s">
        <v>409</v>
      </c>
      <c r="C481" s="515"/>
      <c r="D481" s="515"/>
      <c r="E481" s="515"/>
      <c r="F481" s="515"/>
      <c r="G481" s="515"/>
      <c r="H481" s="515"/>
      <c r="I481" s="515"/>
      <c r="J481" s="515"/>
      <c r="K481" s="515"/>
      <c r="L481" s="515"/>
      <c r="M481" s="515"/>
      <c r="N481" s="143">
        <v>991</v>
      </c>
      <c r="O481" s="144">
        <v>3</v>
      </c>
      <c r="P481" s="144">
        <v>9</v>
      </c>
      <c r="Q481" s="145" t="s">
        <v>410</v>
      </c>
      <c r="R481" s="146">
        <v>0</v>
      </c>
      <c r="S481" s="500"/>
      <c r="T481" s="500"/>
      <c r="U481" s="164">
        <v>1591.8789999999999</v>
      </c>
      <c r="V481" s="164">
        <v>0</v>
      </c>
      <c r="W481" s="164">
        <v>1591.8789999999999</v>
      </c>
      <c r="X481" s="514"/>
      <c r="Y481" s="514"/>
      <c r="Z481" s="514"/>
      <c r="AA481" s="514"/>
      <c r="AB481" s="514"/>
      <c r="AC481" s="514"/>
      <c r="AD481" s="514"/>
      <c r="AE481" s="164"/>
      <c r="AF481" s="160"/>
      <c r="AG481" s="160">
        <f>+AG482+AG487</f>
        <v>312.08812999999998</v>
      </c>
      <c r="AH481" s="170">
        <f t="shared" si="13"/>
        <v>19.605015833489855</v>
      </c>
    </row>
    <row r="482" spans="1:34" ht="12" customHeight="1" x14ac:dyDescent="0.2">
      <c r="A482" s="141"/>
      <c r="B482" s="515" t="s">
        <v>411</v>
      </c>
      <c r="C482" s="515"/>
      <c r="D482" s="515"/>
      <c r="E482" s="515"/>
      <c r="F482" s="515"/>
      <c r="G482" s="515"/>
      <c r="H482" s="515"/>
      <c r="I482" s="515"/>
      <c r="J482" s="515"/>
      <c r="K482" s="515"/>
      <c r="L482" s="515"/>
      <c r="M482" s="515"/>
      <c r="N482" s="143">
        <v>991</v>
      </c>
      <c r="O482" s="144">
        <v>3</v>
      </c>
      <c r="P482" s="144">
        <v>9</v>
      </c>
      <c r="Q482" s="145" t="s">
        <v>412</v>
      </c>
      <c r="R482" s="146">
        <v>0</v>
      </c>
      <c r="S482" s="500"/>
      <c r="T482" s="500"/>
      <c r="U482" s="164">
        <v>1405.6590000000001</v>
      </c>
      <c r="V482" s="164">
        <v>0</v>
      </c>
      <c r="W482" s="164">
        <v>1405.6590000000001</v>
      </c>
      <c r="X482" s="514"/>
      <c r="Y482" s="514"/>
      <c r="Z482" s="514"/>
      <c r="AA482" s="514"/>
      <c r="AB482" s="514"/>
      <c r="AC482" s="514"/>
      <c r="AD482" s="514"/>
      <c r="AE482" s="164"/>
      <c r="AF482" s="160"/>
      <c r="AG482" s="160">
        <f>+AG483</f>
        <v>302.23852999999997</v>
      </c>
      <c r="AH482" s="170">
        <f t="shared" si="13"/>
        <v>21.501554075348285</v>
      </c>
    </row>
    <row r="483" spans="1:34" ht="53.25" customHeight="1" x14ac:dyDescent="0.2">
      <c r="A483" s="141"/>
      <c r="B483" s="515" t="s">
        <v>17</v>
      </c>
      <c r="C483" s="515"/>
      <c r="D483" s="515"/>
      <c r="E483" s="515"/>
      <c r="F483" s="515"/>
      <c r="G483" s="515"/>
      <c r="H483" s="515"/>
      <c r="I483" s="515"/>
      <c r="J483" s="515"/>
      <c r="K483" s="515"/>
      <c r="L483" s="515"/>
      <c r="M483" s="515"/>
      <c r="N483" s="143">
        <v>991</v>
      </c>
      <c r="O483" s="144">
        <v>3</v>
      </c>
      <c r="P483" s="144">
        <v>9</v>
      </c>
      <c r="Q483" s="145" t="s">
        <v>412</v>
      </c>
      <c r="R483" s="146" t="s">
        <v>18</v>
      </c>
      <c r="S483" s="500"/>
      <c r="T483" s="500"/>
      <c r="U483" s="164">
        <v>1405.6590000000001</v>
      </c>
      <c r="V483" s="164">
        <v>0</v>
      </c>
      <c r="W483" s="164">
        <v>1405.6590000000001</v>
      </c>
      <c r="X483" s="514"/>
      <c r="Y483" s="514"/>
      <c r="Z483" s="514"/>
      <c r="AA483" s="514"/>
      <c r="AB483" s="514"/>
      <c r="AC483" s="514"/>
      <c r="AD483" s="514"/>
      <c r="AE483" s="164"/>
      <c r="AF483" s="160"/>
      <c r="AG483" s="160">
        <f>+AG484</f>
        <v>302.23852999999997</v>
      </c>
      <c r="AH483" s="170">
        <f t="shared" si="13"/>
        <v>21.501554075348285</v>
      </c>
    </row>
    <row r="484" spans="1:34" ht="21.75" customHeight="1" x14ac:dyDescent="0.2">
      <c r="A484" s="141"/>
      <c r="B484" s="515" t="s">
        <v>37</v>
      </c>
      <c r="C484" s="515"/>
      <c r="D484" s="515"/>
      <c r="E484" s="515"/>
      <c r="F484" s="515"/>
      <c r="G484" s="515"/>
      <c r="H484" s="515"/>
      <c r="I484" s="515"/>
      <c r="J484" s="515"/>
      <c r="K484" s="515"/>
      <c r="L484" s="515"/>
      <c r="M484" s="515"/>
      <c r="N484" s="143">
        <v>991</v>
      </c>
      <c r="O484" s="144">
        <v>3</v>
      </c>
      <c r="P484" s="144">
        <v>9</v>
      </c>
      <c r="Q484" s="145" t="s">
        <v>412</v>
      </c>
      <c r="R484" s="146" t="s">
        <v>38</v>
      </c>
      <c r="S484" s="500"/>
      <c r="T484" s="500"/>
      <c r="U484" s="164">
        <v>1405.6590000000001</v>
      </c>
      <c r="V484" s="164">
        <v>0</v>
      </c>
      <c r="W484" s="164">
        <v>1405.6590000000001</v>
      </c>
      <c r="X484" s="514"/>
      <c r="Y484" s="514"/>
      <c r="Z484" s="514"/>
      <c r="AA484" s="514"/>
      <c r="AB484" s="514"/>
      <c r="AC484" s="514"/>
      <c r="AD484" s="514"/>
      <c r="AE484" s="164"/>
      <c r="AF484" s="160"/>
      <c r="AG484" s="160">
        <f>+AG485+AG486</f>
        <v>302.23852999999997</v>
      </c>
      <c r="AH484" s="170">
        <f t="shared" si="13"/>
        <v>21.501554075348285</v>
      </c>
    </row>
    <row r="485" spans="1:34" ht="21.75" customHeight="1" x14ac:dyDescent="0.2">
      <c r="A485" s="141"/>
      <c r="B485" s="515" t="s">
        <v>333</v>
      </c>
      <c r="C485" s="515"/>
      <c r="D485" s="515"/>
      <c r="E485" s="515"/>
      <c r="F485" s="515"/>
      <c r="G485" s="515"/>
      <c r="H485" s="515"/>
      <c r="I485" s="515"/>
      <c r="J485" s="515"/>
      <c r="K485" s="515"/>
      <c r="L485" s="515"/>
      <c r="M485" s="515"/>
      <c r="N485" s="143">
        <v>991</v>
      </c>
      <c r="O485" s="144">
        <v>3</v>
      </c>
      <c r="P485" s="144">
        <v>9</v>
      </c>
      <c r="Q485" s="145" t="s">
        <v>412</v>
      </c>
      <c r="R485" s="146" t="s">
        <v>39</v>
      </c>
      <c r="S485" s="500"/>
      <c r="T485" s="500"/>
      <c r="U485" s="164">
        <v>1079.615</v>
      </c>
      <c r="V485" s="164">
        <v>0</v>
      </c>
      <c r="W485" s="164">
        <v>1079.615</v>
      </c>
      <c r="X485" s="514"/>
      <c r="Y485" s="514"/>
      <c r="Z485" s="514"/>
      <c r="AA485" s="514"/>
      <c r="AB485" s="514"/>
      <c r="AC485" s="514"/>
      <c r="AD485" s="514"/>
      <c r="AE485" s="164"/>
      <c r="AF485" s="160"/>
      <c r="AG485" s="160">
        <v>232.13405</v>
      </c>
      <c r="AH485" s="170">
        <f t="shared" si="13"/>
        <v>21.501558425920351</v>
      </c>
    </row>
    <row r="486" spans="1:34" ht="32.25" customHeight="1" x14ac:dyDescent="0.2">
      <c r="A486" s="141"/>
      <c r="B486" s="515" t="s">
        <v>334</v>
      </c>
      <c r="C486" s="515"/>
      <c r="D486" s="515"/>
      <c r="E486" s="515"/>
      <c r="F486" s="515"/>
      <c r="G486" s="515"/>
      <c r="H486" s="515"/>
      <c r="I486" s="515"/>
      <c r="J486" s="515"/>
      <c r="K486" s="515"/>
      <c r="L486" s="515"/>
      <c r="M486" s="515"/>
      <c r="N486" s="143">
        <v>991</v>
      </c>
      <c r="O486" s="144">
        <v>3</v>
      </c>
      <c r="P486" s="144">
        <v>9</v>
      </c>
      <c r="Q486" s="145" t="s">
        <v>412</v>
      </c>
      <c r="R486" s="146" t="s">
        <v>41</v>
      </c>
      <c r="S486" s="500"/>
      <c r="T486" s="500"/>
      <c r="U486" s="164">
        <v>326.04399999999998</v>
      </c>
      <c r="V486" s="164">
        <v>0</v>
      </c>
      <c r="W486" s="164">
        <v>326.04399999999998</v>
      </c>
      <c r="X486" s="514"/>
      <c r="Y486" s="514"/>
      <c r="Z486" s="514"/>
      <c r="AA486" s="514"/>
      <c r="AB486" s="514"/>
      <c r="AC486" s="514"/>
      <c r="AD486" s="514"/>
      <c r="AE486" s="164"/>
      <c r="AF486" s="160"/>
      <c r="AG486" s="160">
        <v>70.104479999999995</v>
      </c>
      <c r="AH486" s="170">
        <f t="shared" si="13"/>
        <v>21.501539669492463</v>
      </c>
    </row>
    <row r="487" spans="1:34" ht="12" customHeight="1" x14ac:dyDescent="0.2">
      <c r="A487" s="141"/>
      <c r="B487" s="515" t="s">
        <v>413</v>
      </c>
      <c r="C487" s="515"/>
      <c r="D487" s="515"/>
      <c r="E487" s="515"/>
      <c r="F487" s="515"/>
      <c r="G487" s="515"/>
      <c r="H487" s="515"/>
      <c r="I487" s="515"/>
      <c r="J487" s="515"/>
      <c r="K487" s="515"/>
      <c r="L487" s="515"/>
      <c r="M487" s="515"/>
      <c r="N487" s="143">
        <v>991</v>
      </c>
      <c r="O487" s="144">
        <v>3</v>
      </c>
      <c r="P487" s="144">
        <v>9</v>
      </c>
      <c r="Q487" s="145" t="s">
        <v>414</v>
      </c>
      <c r="R487" s="146">
        <v>0</v>
      </c>
      <c r="S487" s="500"/>
      <c r="T487" s="500"/>
      <c r="U487" s="164">
        <v>186.22</v>
      </c>
      <c r="V487" s="164">
        <v>0</v>
      </c>
      <c r="W487" s="164">
        <v>186.22</v>
      </c>
      <c r="X487" s="514"/>
      <c r="Y487" s="514"/>
      <c r="Z487" s="514"/>
      <c r="AA487" s="514"/>
      <c r="AB487" s="514"/>
      <c r="AC487" s="514"/>
      <c r="AD487" s="514"/>
      <c r="AE487" s="164"/>
      <c r="AF487" s="160"/>
      <c r="AG487" s="160">
        <f>+AG488</f>
        <v>9.8496000000000006</v>
      </c>
      <c r="AH487" s="170">
        <f t="shared" si="13"/>
        <v>5.2892277950810866</v>
      </c>
    </row>
    <row r="488" spans="1:34" ht="21.75" customHeight="1" x14ac:dyDescent="0.2">
      <c r="A488" s="141"/>
      <c r="B488" s="515" t="s">
        <v>345</v>
      </c>
      <c r="C488" s="515"/>
      <c r="D488" s="515"/>
      <c r="E488" s="515"/>
      <c r="F488" s="515"/>
      <c r="G488" s="515"/>
      <c r="H488" s="515"/>
      <c r="I488" s="515"/>
      <c r="J488" s="515"/>
      <c r="K488" s="515"/>
      <c r="L488" s="515"/>
      <c r="M488" s="515"/>
      <c r="N488" s="143">
        <v>991</v>
      </c>
      <c r="O488" s="144">
        <v>3</v>
      </c>
      <c r="P488" s="144">
        <v>9</v>
      </c>
      <c r="Q488" s="145" t="s">
        <v>414</v>
      </c>
      <c r="R488" s="146" t="s">
        <v>24</v>
      </c>
      <c r="S488" s="500"/>
      <c r="T488" s="500"/>
      <c r="U488" s="164">
        <v>186.22</v>
      </c>
      <c r="V488" s="164">
        <v>0</v>
      </c>
      <c r="W488" s="164">
        <v>186.22</v>
      </c>
      <c r="X488" s="514"/>
      <c r="Y488" s="514"/>
      <c r="Z488" s="514"/>
      <c r="AA488" s="514"/>
      <c r="AB488" s="514"/>
      <c r="AC488" s="514"/>
      <c r="AD488" s="514"/>
      <c r="AE488" s="164"/>
      <c r="AF488" s="160"/>
      <c r="AG488" s="160">
        <f>+AG489</f>
        <v>9.8496000000000006</v>
      </c>
      <c r="AH488" s="170">
        <f t="shared" si="13"/>
        <v>5.2892277950810866</v>
      </c>
    </row>
    <row r="489" spans="1:34" ht="21.75" customHeight="1" x14ac:dyDescent="0.2">
      <c r="A489" s="141"/>
      <c r="B489" s="515" t="s">
        <v>346</v>
      </c>
      <c r="C489" s="515"/>
      <c r="D489" s="515"/>
      <c r="E489" s="515"/>
      <c r="F489" s="515"/>
      <c r="G489" s="515"/>
      <c r="H489" s="515"/>
      <c r="I489" s="515"/>
      <c r="J489" s="515"/>
      <c r="K489" s="515"/>
      <c r="L489" s="515"/>
      <c r="M489" s="515"/>
      <c r="N489" s="143">
        <v>991</v>
      </c>
      <c r="O489" s="144">
        <v>3</v>
      </c>
      <c r="P489" s="144">
        <v>9</v>
      </c>
      <c r="Q489" s="145" t="s">
        <v>414</v>
      </c>
      <c r="R489" s="146" t="s">
        <v>26</v>
      </c>
      <c r="S489" s="500"/>
      <c r="T489" s="500"/>
      <c r="U489" s="164">
        <v>186.22</v>
      </c>
      <c r="V489" s="164">
        <v>0</v>
      </c>
      <c r="W489" s="164">
        <v>186.22</v>
      </c>
      <c r="X489" s="514"/>
      <c r="Y489" s="514"/>
      <c r="Z489" s="514"/>
      <c r="AA489" s="514"/>
      <c r="AB489" s="514"/>
      <c r="AC489" s="514"/>
      <c r="AD489" s="514"/>
      <c r="AE489" s="164"/>
      <c r="AF489" s="160"/>
      <c r="AG489" s="160">
        <f>+AG490</f>
        <v>9.8496000000000006</v>
      </c>
      <c r="AH489" s="170">
        <f t="shared" si="13"/>
        <v>5.2892277950810866</v>
      </c>
    </row>
    <row r="490" spans="1:34" ht="21.75" customHeight="1" x14ac:dyDescent="0.2">
      <c r="A490" s="141"/>
      <c r="B490" s="515" t="s">
        <v>347</v>
      </c>
      <c r="C490" s="515"/>
      <c r="D490" s="515"/>
      <c r="E490" s="515"/>
      <c r="F490" s="515"/>
      <c r="G490" s="515"/>
      <c r="H490" s="515"/>
      <c r="I490" s="515"/>
      <c r="J490" s="515"/>
      <c r="K490" s="515"/>
      <c r="L490" s="515"/>
      <c r="M490" s="515"/>
      <c r="N490" s="143">
        <v>991</v>
      </c>
      <c r="O490" s="144">
        <v>3</v>
      </c>
      <c r="P490" s="144">
        <v>9</v>
      </c>
      <c r="Q490" s="145" t="s">
        <v>414</v>
      </c>
      <c r="R490" s="146" t="s">
        <v>27</v>
      </c>
      <c r="S490" s="500"/>
      <c r="T490" s="500"/>
      <c r="U490" s="164">
        <v>186.22</v>
      </c>
      <c r="V490" s="164">
        <v>0</v>
      </c>
      <c r="W490" s="164">
        <v>186.22</v>
      </c>
      <c r="X490" s="514"/>
      <c r="Y490" s="514"/>
      <c r="Z490" s="514"/>
      <c r="AA490" s="514"/>
      <c r="AB490" s="514"/>
      <c r="AC490" s="514"/>
      <c r="AD490" s="514"/>
      <c r="AE490" s="164"/>
      <c r="AF490" s="160"/>
      <c r="AG490" s="160">
        <v>9.8496000000000006</v>
      </c>
      <c r="AH490" s="170">
        <f t="shared" si="13"/>
        <v>5.2892277950810866</v>
      </c>
    </row>
    <row r="491" spans="1:34" ht="21.75" customHeight="1" x14ac:dyDescent="0.2">
      <c r="A491" s="141"/>
      <c r="B491" s="515" t="s">
        <v>556</v>
      </c>
      <c r="C491" s="515"/>
      <c r="D491" s="515"/>
      <c r="E491" s="515"/>
      <c r="F491" s="515"/>
      <c r="G491" s="515"/>
      <c r="H491" s="515"/>
      <c r="I491" s="515"/>
      <c r="J491" s="515"/>
      <c r="K491" s="515"/>
      <c r="L491" s="515"/>
      <c r="M491" s="515"/>
      <c r="N491" s="143">
        <v>991</v>
      </c>
      <c r="O491" s="144">
        <v>3</v>
      </c>
      <c r="P491" s="144">
        <v>14</v>
      </c>
      <c r="Q491" s="145">
        <v>0</v>
      </c>
      <c r="R491" s="146">
        <v>0</v>
      </c>
      <c r="S491" s="500"/>
      <c r="T491" s="500"/>
      <c r="U491" s="164">
        <v>142</v>
      </c>
      <c r="V491" s="164">
        <v>0</v>
      </c>
      <c r="W491" s="164">
        <v>142</v>
      </c>
      <c r="X491" s="514"/>
      <c r="Y491" s="514"/>
      <c r="Z491" s="514"/>
      <c r="AA491" s="514"/>
      <c r="AB491" s="514"/>
      <c r="AC491" s="514"/>
      <c r="AD491" s="514"/>
      <c r="AE491" s="164"/>
      <c r="AF491" s="160"/>
      <c r="AG491" s="160">
        <f t="shared" ref="AG491:AG496" si="14">+AG492</f>
        <v>0</v>
      </c>
      <c r="AH491" s="170">
        <f t="shared" si="13"/>
        <v>0</v>
      </c>
    </row>
    <row r="492" spans="1:34" ht="21.75" customHeight="1" x14ac:dyDescent="0.2">
      <c r="A492" s="141"/>
      <c r="B492" s="515" t="s">
        <v>384</v>
      </c>
      <c r="C492" s="515"/>
      <c r="D492" s="515"/>
      <c r="E492" s="515"/>
      <c r="F492" s="515"/>
      <c r="G492" s="515"/>
      <c r="H492" s="515"/>
      <c r="I492" s="515"/>
      <c r="J492" s="515"/>
      <c r="K492" s="515"/>
      <c r="L492" s="515"/>
      <c r="M492" s="515"/>
      <c r="N492" s="143">
        <v>991</v>
      </c>
      <c r="O492" s="144">
        <v>3</v>
      </c>
      <c r="P492" s="144">
        <v>14</v>
      </c>
      <c r="Q492" s="145" t="s">
        <v>385</v>
      </c>
      <c r="R492" s="146">
        <v>0</v>
      </c>
      <c r="S492" s="500"/>
      <c r="T492" s="500"/>
      <c r="U492" s="164">
        <v>142</v>
      </c>
      <c r="V492" s="164">
        <v>0</v>
      </c>
      <c r="W492" s="164">
        <v>142</v>
      </c>
      <c r="X492" s="514"/>
      <c r="Y492" s="514"/>
      <c r="Z492" s="514"/>
      <c r="AA492" s="514"/>
      <c r="AB492" s="514"/>
      <c r="AC492" s="514"/>
      <c r="AD492" s="514"/>
      <c r="AE492" s="164"/>
      <c r="AF492" s="160"/>
      <c r="AG492" s="160">
        <f t="shared" si="14"/>
        <v>0</v>
      </c>
      <c r="AH492" s="170">
        <f t="shared" si="13"/>
        <v>0</v>
      </c>
    </row>
    <row r="493" spans="1:34" ht="12" customHeight="1" x14ac:dyDescent="0.2">
      <c r="A493" s="141"/>
      <c r="B493" s="515" t="s">
        <v>386</v>
      </c>
      <c r="C493" s="515"/>
      <c r="D493" s="515"/>
      <c r="E493" s="515"/>
      <c r="F493" s="515"/>
      <c r="G493" s="515"/>
      <c r="H493" s="515"/>
      <c r="I493" s="515"/>
      <c r="J493" s="515"/>
      <c r="K493" s="515"/>
      <c r="L493" s="515"/>
      <c r="M493" s="515"/>
      <c r="N493" s="143">
        <v>991</v>
      </c>
      <c r="O493" s="144">
        <v>3</v>
      </c>
      <c r="P493" s="144">
        <v>14</v>
      </c>
      <c r="Q493" s="145" t="s">
        <v>387</v>
      </c>
      <c r="R493" s="146">
        <v>0</v>
      </c>
      <c r="S493" s="500"/>
      <c r="T493" s="500"/>
      <c r="U493" s="164">
        <v>142</v>
      </c>
      <c r="V493" s="164">
        <v>0</v>
      </c>
      <c r="W493" s="164">
        <v>142</v>
      </c>
      <c r="X493" s="514"/>
      <c r="Y493" s="514"/>
      <c r="Z493" s="514"/>
      <c r="AA493" s="514"/>
      <c r="AB493" s="514"/>
      <c r="AC493" s="514"/>
      <c r="AD493" s="514"/>
      <c r="AE493" s="164"/>
      <c r="AF493" s="160"/>
      <c r="AG493" s="160">
        <f t="shared" si="14"/>
        <v>0</v>
      </c>
      <c r="AH493" s="170">
        <f t="shared" si="13"/>
        <v>0</v>
      </c>
    </row>
    <row r="494" spans="1:34" ht="32.25" customHeight="1" x14ac:dyDescent="0.2">
      <c r="A494" s="141"/>
      <c r="B494" s="515" t="s">
        <v>388</v>
      </c>
      <c r="C494" s="515"/>
      <c r="D494" s="515"/>
      <c r="E494" s="515"/>
      <c r="F494" s="515"/>
      <c r="G494" s="515"/>
      <c r="H494" s="515"/>
      <c r="I494" s="515"/>
      <c r="J494" s="515"/>
      <c r="K494" s="515"/>
      <c r="L494" s="515"/>
      <c r="M494" s="515"/>
      <c r="N494" s="143">
        <v>991</v>
      </c>
      <c r="O494" s="144">
        <v>3</v>
      </c>
      <c r="P494" s="144">
        <v>14</v>
      </c>
      <c r="Q494" s="145" t="s">
        <v>389</v>
      </c>
      <c r="R494" s="146">
        <v>0</v>
      </c>
      <c r="S494" s="500"/>
      <c r="T494" s="500"/>
      <c r="U494" s="164">
        <v>142</v>
      </c>
      <c r="V494" s="164">
        <v>0</v>
      </c>
      <c r="W494" s="164">
        <v>142</v>
      </c>
      <c r="X494" s="514"/>
      <c r="Y494" s="514"/>
      <c r="Z494" s="514"/>
      <c r="AA494" s="514"/>
      <c r="AB494" s="514"/>
      <c r="AC494" s="514"/>
      <c r="AD494" s="514"/>
      <c r="AE494" s="164"/>
      <c r="AF494" s="160"/>
      <c r="AG494" s="160">
        <f t="shared" si="14"/>
        <v>0</v>
      </c>
      <c r="AH494" s="170">
        <f t="shared" si="13"/>
        <v>0</v>
      </c>
    </row>
    <row r="495" spans="1:34" ht="21.75" customHeight="1" x14ac:dyDescent="0.2">
      <c r="A495" s="141"/>
      <c r="B495" s="515" t="s">
        <v>345</v>
      </c>
      <c r="C495" s="515"/>
      <c r="D495" s="515"/>
      <c r="E495" s="515"/>
      <c r="F495" s="515"/>
      <c r="G495" s="515"/>
      <c r="H495" s="515"/>
      <c r="I495" s="515"/>
      <c r="J495" s="515"/>
      <c r="K495" s="515"/>
      <c r="L495" s="515"/>
      <c r="M495" s="515"/>
      <c r="N495" s="143">
        <v>991</v>
      </c>
      <c r="O495" s="144">
        <v>3</v>
      </c>
      <c r="P495" s="144">
        <v>14</v>
      </c>
      <c r="Q495" s="145" t="s">
        <v>389</v>
      </c>
      <c r="R495" s="146" t="s">
        <v>24</v>
      </c>
      <c r="S495" s="500"/>
      <c r="T495" s="500"/>
      <c r="U495" s="164">
        <v>142</v>
      </c>
      <c r="V495" s="164">
        <v>0</v>
      </c>
      <c r="W495" s="164">
        <v>142</v>
      </c>
      <c r="X495" s="514"/>
      <c r="Y495" s="514"/>
      <c r="Z495" s="514"/>
      <c r="AA495" s="514"/>
      <c r="AB495" s="514"/>
      <c r="AC495" s="514"/>
      <c r="AD495" s="514"/>
      <c r="AE495" s="164"/>
      <c r="AF495" s="160"/>
      <c r="AG495" s="160">
        <f t="shared" si="14"/>
        <v>0</v>
      </c>
      <c r="AH495" s="170">
        <f t="shared" si="13"/>
        <v>0</v>
      </c>
    </row>
    <row r="496" spans="1:34" ht="21.75" customHeight="1" x14ac:dyDescent="0.2">
      <c r="A496" s="141"/>
      <c r="B496" s="515" t="s">
        <v>346</v>
      </c>
      <c r="C496" s="515"/>
      <c r="D496" s="515"/>
      <c r="E496" s="515"/>
      <c r="F496" s="515"/>
      <c r="G496" s="515"/>
      <c r="H496" s="515"/>
      <c r="I496" s="515"/>
      <c r="J496" s="515"/>
      <c r="K496" s="515"/>
      <c r="L496" s="515"/>
      <c r="M496" s="515"/>
      <c r="N496" s="143">
        <v>991</v>
      </c>
      <c r="O496" s="144">
        <v>3</v>
      </c>
      <c r="P496" s="144">
        <v>14</v>
      </c>
      <c r="Q496" s="145" t="s">
        <v>389</v>
      </c>
      <c r="R496" s="146" t="s">
        <v>26</v>
      </c>
      <c r="S496" s="500"/>
      <c r="T496" s="500"/>
      <c r="U496" s="164">
        <v>142</v>
      </c>
      <c r="V496" s="164">
        <v>0</v>
      </c>
      <c r="W496" s="164">
        <v>142</v>
      </c>
      <c r="X496" s="514"/>
      <c r="Y496" s="514"/>
      <c r="Z496" s="514"/>
      <c r="AA496" s="514"/>
      <c r="AB496" s="514"/>
      <c r="AC496" s="514"/>
      <c r="AD496" s="514"/>
      <c r="AE496" s="164"/>
      <c r="AF496" s="160"/>
      <c r="AG496" s="160">
        <f t="shared" si="14"/>
        <v>0</v>
      </c>
      <c r="AH496" s="170">
        <f t="shared" si="13"/>
        <v>0</v>
      </c>
    </row>
    <row r="497" spans="1:34" ht="12" customHeight="1" x14ac:dyDescent="0.2">
      <c r="A497" s="141"/>
      <c r="B497" s="515" t="s">
        <v>348</v>
      </c>
      <c r="C497" s="515"/>
      <c r="D497" s="515"/>
      <c r="E497" s="515"/>
      <c r="F497" s="515"/>
      <c r="G497" s="515"/>
      <c r="H497" s="515"/>
      <c r="I497" s="515"/>
      <c r="J497" s="515"/>
      <c r="K497" s="515"/>
      <c r="L497" s="515"/>
      <c r="M497" s="515"/>
      <c r="N497" s="143">
        <v>991</v>
      </c>
      <c r="O497" s="144">
        <v>3</v>
      </c>
      <c r="P497" s="144">
        <v>14</v>
      </c>
      <c r="Q497" s="145" t="s">
        <v>389</v>
      </c>
      <c r="R497" s="146" t="s">
        <v>28</v>
      </c>
      <c r="S497" s="500"/>
      <c r="T497" s="500"/>
      <c r="U497" s="164">
        <v>142</v>
      </c>
      <c r="V497" s="164">
        <v>0</v>
      </c>
      <c r="W497" s="164">
        <v>142</v>
      </c>
      <c r="X497" s="514"/>
      <c r="Y497" s="514"/>
      <c r="Z497" s="514"/>
      <c r="AA497" s="514"/>
      <c r="AB497" s="514"/>
      <c r="AC497" s="514"/>
      <c r="AD497" s="514"/>
      <c r="AE497" s="164"/>
      <c r="AF497" s="160"/>
      <c r="AG497" s="160"/>
      <c r="AH497" s="170">
        <f t="shared" si="13"/>
        <v>0</v>
      </c>
    </row>
    <row r="498" spans="1:34" ht="12" customHeight="1" x14ac:dyDescent="0.2">
      <c r="A498" s="141"/>
      <c r="B498" s="515" t="s">
        <v>415</v>
      </c>
      <c r="C498" s="515"/>
      <c r="D498" s="515"/>
      <c r="E498" s="515"/>
      <c r="F498" s="515"/>
      <c r="G498" s="515"/>
      <c r="H498" s="515"/>
      <c r="I498" s="515"/>
      <c r="J498" s="515"/>
      <c r="K498" s="515"/>
      <c r="L498" s="515"/>
      <c r="M498" s="515"/>
      <c r="N498" s="143">
        <v>991</v>
      </c>
      <c r="O498" s="144">
        <v>4</v>
      </c>
      <c r="P498" s="144">
        <v>0</v>
      </c>
      <c r="Q498" s="145">
        <v>0</v>
      </c>
      <c r="R498" s="146">
        <v>0</v>
      </c>
      <c r="S498" s="500"/>
      <c r="T498" s="500"/>
      <c r="U498" s="164">
        <v>3751.1</v>
      </c>
      <c r="V498" s="164">
        <v>0</v>
      </c>
      <c r="W498" s="164">
        <v>3751.1</v>
      </c>
      <c r="X498" s="514"/>
      <c r="Y498" s="514"/>
      <c r="Z498" s="514"/>
      <c r="AA498" s="514"/>
      <c r="AB498" s="514"/>
      <c r="AC498" s="514"/>
      <c r="AD498" s="514"/>
      <c r="AE498" s="164"/>
      <c r="AF498" s="160"/>
      <c r="AG498" s="160">
        <f>+AG499+AG506</f>
        <v>248</v>
      </c>
      <c r="AH498" s="170">
        <f t="shared" si="13"/>
        <v>6.6113939910959454</v>
      </c>
    </row>
    <row r="499" spans="1:34" ht="12" customHeight="1" x14ac:dyDescent="0.2">
      <c r="A499" s="141"/>
      <c r="B499" s="515" t="s">
        <v>90</v>
      </c>
      <c r="C499" s="515"/>
      <c r="D499" s="515"/>
      <c r="E499" s="515"/>
      <c r="F499" s="515"/>
      <c r="G499" s="515"/>
      <c r="H499" s="515"/>
      <c r="I499" s="515"/>
      <c r="J499" s="515"/>
      <c r="K499" s="515"/>
      <c r="L499" s="515"/>
      <c r="M499" s="515"/>
      <c r="N499" s="143">
        <v>991</v>
      </c>
      <c r="O499" s="144">
        <v>4</v>
      </c>
      <c r="P499" s="144">
        <v>9</v>
      </c>
      <c r="Q499" s="145">
        <v>0</v>
      </c>
      <c r="R499" s="146">
        <v>0</v>
      </c>
      <c r="S499" s="500"/>
      <c r="T499" s="500"/>
      <c r="U499" s="164">
        <v>1076</v>
      </c>
      <c r="V499" s="164">
        <v>0</v>
      </c>
      <c r="W499" s="164">
        <v>1076</v>
      </c>
      <c r="X499" s="514"/>
      <c r="Y499" s="514"/>
      <c r="Z499" s="514"/>
      <c r="AA499" s="514"/>
      <c r="AB499" s="514"/>
      <c r="AC499" s="514"/>
      <c r="AD499" s="514"/>
      <c r="AE499" s="164"/>
      <c r="AF499" s="160"/>
      <c r="AG499" s="160">
        <f t="shared" ref="AG499:AG504" si="15">+AG500</f>
        <v>0</v>
      </c>
      <c r="AH499" s="170">
        <f t="shared" si="13"/>
        <v>0</v>
      </c>
    </row>
    <row r="500" spans="1:34" ht="21.75" customHeight="1" x14ac:dyDescent="0.2">
      <c r="A500" s="141"/>
      <c r="B500" s="515" t="s">
        <v>91</v>
      </c>
      <c r="C500" s="515"/>
      <c r="D500" s="515"/>
      <c r="E500" s="515"/>
      <c r="F500" s="515"/>
      <c r="G500" s="515"/>
      <c r="H500" s="515"/>
      <c r="I500" s="515"/>
      <c r="J500" s="515"/>
      <c r="K500" s="515"/>
      <c r="L500" s="515"/>
      <c r="M500" s="515"/>
      <c r="N500" s="143">
        <v>991</v>
      </c>
      <c r="O500" s="144">
        <v>4</v>
      </c>
      <c r="P500" s="144">
        <v>9</v>
      </c>
      <c r="Q500" s="145" t="s">
        <v>421</v>
      </c>
      <c r="R500" s="146">
        <v>0</v>
      </c>
      <c r="S500" s="500"/>
      <c r="T500" s="500"/>
      <c r="U500" s="164">
        <v>1076</v>
      </c>
      <c r="V500" s="164">
        <v>0</v>
      </c>
      <c r="W500" s="164">
        <v>1076</v>
      </c>
      <c r="X500" s="514"/>
      <c r="Y500" s="514"/>
      <c r="Z500" s="514"/>
      <c r="AA500" s="514"/>
      <c r="AB500" s="514"/>
      <c r="AC500" s="514"/>
      <c r="AD500" s="514"/>
      <c r="AE500" s="164"/>
      <c r="AF500" s="160"/>
      <c r="AG500" s="160">
        <f t="shared" si="15"/>
        <v>0</v>
      </c>
      <c r="AH500" s="170">
        <f t="shared" si="13"/>
        <v>0</v>
      </c>
    </row>
    <row r="501" spans="1:34" ht="21.75" customHeight="1" x14ac:dyDescent="0.2">
      <c r="A501" s="141"/>
      <c r="B501" s="515" t="s">
        <v>301</v>
      </c>
      <c r="C501" s="515"/>
      <c r="D501" s="515"/>
      <c r="E501" s="515"/>
      <c r="F501" s="515"/>
      <c r="G501" s="515"/>
      <c r="H501" s="515"/>
      <c r="I501" s="515"/>
      <c r="J501" s="515"/>
      <c r="K501" s="515"/>
      <c r="L501" s="515"/>
      <c r="M501" s="515"/>
      <c r="N501" s="143">
        <v>991</v>
      </c>
      <c r="O501" s="144">
        <v>4</v>
      </c>
      <c r="P501" s="144">
        <v>9</v>
      </c>
      <c r="Q501" s="145" t="s">
        <v>422</v>
      </c>
      <c r="R501" s="146">
        <v>0</v>
      </c>
      <c r="S501" s="500"/>
      <c r="T501" s="500"/>
      <c r="U501" s="164">
        <v>1076</v>
      </c>
      <c r="V501" s="164">
        <v>0</v>
      </c>
      <c r="W501" s="164">
        <v>1076</v>
      </c>
      <c r="X501" s="514"/>
      <c r="Y501" s="514"/>
      <c r="Z501" s="514"/>
      <c r="AA501" s="514"/>
      <c r="AB501" s="514"/>
      <c r="AC501" s="514"/>
      <c r="AD501" s="514"/>
      <c r="AE501" s="164"/>
      <c r="AF501" s="160"/>
      <c r="AG501" s="160">
        <f t="shared" si="15"/>
        <v>0</v>
      </c>
      <c r="AH501" s="170">
        <f t="shared" si="13"/>
        <v>0</v>
      </c>
    </row>
    <row r="502" spans="1:34" ht="42.75" customHeight="1" x14ac:dyDescent="0.2">
      <c r="A502" s="141"/>
      <c r="B502" s="515" t="s">
        <v>92</v>
      </c>
      <c r="C502" s="515"/>
      <c r="D502" s="515"/>
      <c r="E502" s="515"/>
      <c r="F502" s="515"/>
      <c r="G502" s="515"/>
      <c r="H502" s="515"/>
      <c r="I502" s="515"/>
      <c r="J502" s="515"/>
      <c r="K502" s="515"/>
      <c r="L502" s="515"/>
      <c r="M502" s="515"/>
      <c r="N502" s="143">
        <v>991</v>
      </c>
      <c r="O502" s="144">
        <v>4</v>
      </c>
      <c r="P502" s="144">
        <v>9</v>
      </c>
      <c r="Q502" s="145" t="s">
        <v>423</v>
      </c>
      <c r="R502" s="146">
        <v>0</v>
      </c>
      <c r="S502" s="500"/>
      <c r="T502" s="500"/>
      <c r="U502" s="164">
        <v>1076</v>
      </c>
      <c r="V502" s="164">
        <v>0</v>
      </c>
      <c r="W502" s="164">
        <v>1076</v>
      </c>
      <c r="X502" s="514"/>
      <c r="Y502" s="514"/>
      <c r="Z502" s="514"/>
      <c r="AA502" s="514"/>
      <c r="AB502" s="514"/>
      <c r="AC502" s="514"/>
      <c r="AD502" s="514"/>
      <c r="AE502" s="164"/>
      <c r="AF502" s="160"/>
      <c r="AG502" s="160">
        <f t="shared" si="15"/>
        <v>0</v>
      </c>
      <c r="AH502" s="170">
        <f t="shared" si="13"/>
        <v>0</v>
      </c>
    </row>
    <row r="503" spans="1:34" ht="21.75" customHeight="1" x14ac:dyDescent="0.2">
      <c r="A503" s="141"/>
      <c r="B503" s="515" t="s">
        <v>345</v>
      </c>
      <c r="C503" s="515"/>
      <c r="D503" s="515"/>
      <c r="E503" s="515"/>
      <c r="F503" s="515"/>
      <c r="G503" s="515"/>
      <c r="H503" s="515"/>
      <c r="I503" s="515"/>
      <c r="J503" s="515"/>
      <c r="K503" s="515"/>
      <c r="L503" s="515"/>
      <c r="M503" s="515"/>
      <c r="N503" s="143">
        <v>991</v>
      </c>
      <c r="O503" s="144">
        <v>4</v>
      </c>
      <c r="P503" s="144">
        <v>9</v>
      </c>
      <c r="Q503" s="145" t="s">
        <v>423</v>
      </c>
      <c r="R503" s="146" t="s">
        <v>24</v>
      </c>
      <c r="S503" s="500"/>
      <c r="T503" s="500"/>
      <c r="U503" s="164">
        <v>1076</v>
      </c>
      <c r="V503" s="164">
        <v>0</v>
      </c>
      <c r="W503" s="164">
        <v>1076</v>
      </c>
      <c r="X503" s="514"/>
      <c r="Y503" s="514"/>
      <c r="Z503" s="514"/>
      <c r="AA503" s="514"/>
      <c r="AB503" s="514"/>
      <c r="AC503" s="514"/>
      <c r="AD503" s="514"/>
      <c r="AE503" s="164"/>
      <c r="AF503" s="160"/>
      <c r="AG503" s="160">
        <f t="shared" si="15"/>
        <v>0</v>
      </c>
      <c r="AH503" s="170">
        <f t="shared" si="13"/>
        <v>0</v>
      </c>
    </row>
    <row r="504" spans="1:34" ht="21.75" customHeight="1" x14ac:dyDescent="0.2">
      <c r="A504" s="141"/>
      <c r="B504" s="515" t="s">
        <v>346</v>
      </c>
      <c r="C504" s="515"/>
      <c r="D504" s="515"/>
      <c r="E504" s="515"/>
      <c r="F504" s="515"/>
      <c r="G504" s="515"/>
      <c r="H504" s="515"/>
      <c r="I504" s="515"/>
      <c r="J504" s="515"/>
      <c r="K504" s="515"/>
      <c r="L504" s="515"/>
      <c r="M504" s="515"/>
      <c r="N504" s="143">
        <v>991</v>
      </c>
      <c r="O504" s="144">
        <v>4</v>
      </c>
      <c r="P504" s="144">
        <v>9</v>
      </c>
      <c r="Q504" s="145" t="s">
        <v>423</v>
      </c>
      <c r="R504" s="146" t="s">
        <v>26</v>
      </c>
      <c r="S504" s="500"/>
      <c r="T504" s="500"/>
      <c r="U504" s="164">
        <v>1076</v>
      </c>
      <c r="V504" s="164">
        <v>0</v>
      </c>
      <c r="W504" s="164">
        <v>1076</v>
      </c>
      <c r="X504" s="514"/>
      <c r="Y504" s="514"/>
      <c r="Z504" s="514"/>
      <c r="AA504" s="514"/>
      <c r="AB504" s="514"/>
      <c r="AC504" s="514"/>
      <c r="AD504" s="514"/>
      <c r="AE504" s="164"/>
      <c r="AF504" s="160"/>
      <c r="AG504" s="160">
        <f t="shared" si="15"/>
        <v>0</v>
      </c>
      <c r="AH504" s="170">
        <f t="shared" si="13"/>
        <v>0</v>
      </c>
    </row>
    <row r="505" spans="1:34" ht="12" customHeight="1" x14ac:dyDescent="0.2">
      <c r="A505" s="141"/>
      <c r="B505" s="515" t="s">
        <v>348</v>
      </c>
      <c r="C505" s="515"/>
      <c r="D505" s="515"/>
      <c r="E505" s="515"/>
      <c r="F505" s="515"/>
      <c r="G505" s="515"/>
      <c r="H505" s="515"/>
      <c r="I505" s="515"/>
      <c r="J505" s="515"/>
      <c r="K505" s="515"/>
      <c r="L505" s="515"/>
      <c r="M505" s="515"/>
      <c r="N505" s="143">
        <v>991</v>
      </c>
      <c r="O505" s="144">
        <v>4</v>
      </c>
      <c r="P505" s="144">
        <v>9</v>
      </c>
      <c r="Q505" s="145" t="s">
        <v>423</v>
      </c>
      <c r="R505" s="146" t="s">
        <v>28</v>
      </c>
      <c r="S505" s="500"/>
      <c r="T505" s="500"/>
      <c r="U505" s="164">
        <v>1076</v>
      </c>
      <c r="V505" s="164">
        <v>0</v>
      </c>
      <c r="W505" s="164">
        <v>1076</v>
      </c>
      <c r="X505" s="514"/>
      <c r="Y505" s="514"/>
      <c r="Z505" s="514"/>
      <c r="AA505" s="514"/>
      <c r="AB505" s="514"/>
      <c r="AC505" s="514"/>
      <c r="AD505" s="514"/>
      <c r="AE505" s="164"/>
      <c r="AF505" s="160"/>
      <c r="AG505" s="160"/>
      <c r="AH505" s="170">
        <f t="shared" si="13"/>
        <v>0</v>
      </c>
    </row>
    <row r="506" spans="1:34" ht="12" customHeight="1" x14ac:dyDescent="0.2">
      <c r="A506" s="141"/>
      <c r="B506" s="515" t="s">
        <v>424</v>
      </c>
      <c r="C506" s="515"/>
      <c r="D506" s="515"/>
      <c r="E506" s="515"/>
      <c r="F506" s="515"/>
      <c r="G506" s="515"/>
      <c r="H506" s="515"/>
      <c r="I506" s="515"/>
      <c r="J506" s="515"/>
      <c r="K506" s="515"/>
      <c r="L506" s="515"/>
      <c r="M506" s="515"/>
      <c r="N506" s="143">
        <v>991</v>
      </c>
      <c r="O506" s="144">
        <v>4</v>
      </c>
      <c r="P506" s="144">
        <v>12</v>
      </c>
      <c r="Q506" s="145">
        <v>0</v>
      </c>
      <c r="R506" s="146">
        <v>0</v>
      </c>
      <c r="S506" s="500"/>
      <c r="T506" s="500"/>
      <c r="U506" s="164">
        <v>2675.1</v>
      </c>
      <c r="V506" s="164">
        <v>0</v>
      </c>
      <c r="W506" s="164">
        <v>2675.1</v>
      </c>
      <c r="X506" s="514"/>
      <c r="Y506" s="514"/>
      <c r="Z506" s="514"/>
      <c r="AA506" s="514"/>
      <c r="AB506" s="514"/>
      <c r="AC506" s="514"/>
      <c r="AD506" s="514"/>
      <c r="AE506" s="164"/>
      <c r="AF506" s="160"/>
      <c r="AG506" s="160">
        <f>+AG507+AG513</f>
        <v>248</v>
      </c>
      <c r="AH506" s="170">
        <f t="shared" si="13"/>
        <v>9.2706814698515956</v>
      </c>
    </row>
    <row r="507" spans="1:34" ht="32.25" customHeight="1" x14ac:dyDescent="0.2">
      <c r="A507" s="141"/>
      <c r="B507" s="515" t="s">
        <v>93</v>
      </c>
      <c r="C507" s="515"/>
      <c r="D507" s="515"/>
      <c r="E507" s="515"/>
      <c r="F507" s="515"/>
      <c r="G507" s="515"/>
      <c r="H507" s="515"/>
      <c r="I507" s="515"/>
      <c r="J507" s="515"/>
      <c r="K507" s="515"/>
      <c r="L507" s="515"/>
      <c r="M507" s="515"/>
      <c r="N507" s="143">
        <v>991</v>
      </c>
      <c r="O507" s="144">
        <v>4</v>
      </c>
      <c r="P507" s="144">
        <v>12</v>
      </c>
      <c r="Q507" s="145" t="s">
        <v>425</v>
      </c>
      <c r="R507" s="146">
        <v>0</v>
      </c>
      <c r="S507" s="500"/>
      <c r="T507" s="500"/>
      <c r="U507" s="164">
        <v>350</v>
      </c>
      <c r="V507" s="164">
        <v>0</v>
      </c>
      <c r="W507" s="164">
        <v>350</v>
      </c>
      <c r="X507" s="514"/>
      <c r="Y507" s="514"/>
      <c r="Z507" s="514"/>
      <c r="AA507" s="514"/>
      <c r="AB507" s="514"/>
      <c r="AC507" s="514"/>
      <c r="AD507" s="514"/>
      <c r="AE507" s="164"/>
      <c r="AF507" s="160"/>
      <c r="AG507" s="160">
        <f>+AG508</f>
        <v>248</v>
      </c>
      <c r="AH507" s="170">
        <f t="shared" si="13"/>
        <v>70.857142857142847</v>
      </c>
    </row>
    <row r="508" spans="1:34" ht="21.75" customHeight="1" x14ac:dyDescent="0.2">
      <c r="A508" s="141"/>
      <c r="B508" s="515" t="s">
        <v>94</v>
      </c>
      <c r="C508" s="515"/>
      <c r="D508" s="515"/>
      <c r="E508" s="515"/>
      <c r="F508" s="515"/>
      <c r="G508" s="515"/>
      <c r="H508" s="515"/>
      <c r="I508" s="515"/>
      <c r="J508" s="515"/>
      <c r="K508" s="515"/>
      <c r="L508" s="515"/>
      <c r="M508" s="515"/>
      <c r="N508" s="143">
        <v>991</v>
      </c>
      <c r="O508" s="144">
        <v>4</v>
      </c>
      <c r="P508" s="144">
        <v>12</v>
      </c>
      <c r="Q508" s="145" t="s">
        <v>426</v>
      </c>
      <c r="R508" s="146">
        <v>0</v>
      </c>
      <c r="S508" s="500"/>
      <c r="T508" s="500"/>
      <c r="U508" s="164">
        <v>350</v>
      </c>
      <c r="V508" s="164">
        <v>0</v>
      </c>
      <c r="W508" s="164">
        <v>350</v>
      </c>
      <c r="X508" s="514"/>
      <c r="Y508" s="514"/>
      <c r="Z508" s="514"/>
      <c r="AA508" s="514"/>
      <c r="AB508" s="514"/>
      <c r="AC508" s="514"/>
      <c r="AD508" s="514"/>
      <c r="AE508" s="164"/>
      <c r="AF508" s="160"/>
      <c r="AG508" s="160">
        <f>+AG509</f>
        <v>248</v>
      </c>
      <c r="AH508" s="170">
        <f t="shared" si="13"/>
        <v>70.857142857142847</v>
      </c>
    </row>
    <row r="509" spans="1:34" ht="21.75" customHeight="1" x14ac:dyDescent="0.2">
      <c r="A509" s="141"/>
      <c r="B509" s="515" t="s">
        <v>95</v>
      </c>
      <c r="C509" s="515"/>
      <c r="D509" s="515"/>
      <c r="E509" s="515"/>
      <c r="F509" s="515"/>
      <c r="G509" s="515"/>
      <c r="H509" s="515"/>
      <c r="I509" s="515"/>
      <c r="J509" s="515"/>
      <c r="K509" s="515"/>
      <c r="L509" s="515"/>
      <c r="M509" s="515"/>
      <c r="N509" s="143">
        <v>991</v>
      </c>
      <c r="O509" s="144">
        <v>4</v>
      </c>
      <c r="P509" s="144">
        <v>12</v>
      </c>
      <c r="Q509" s="145" t="s">
        <v>427</v>
      </c>
      <c r="R509" s="146">
        <v>0</v>
      </c>
      <c r="S509" s="500"/>
      <c r="T509" s="500"/>
      <c r="U509" s="164">
        <v>350</v>
      </c>
      <c r="V509" s="164">
        <v>0</v>
      </c>
      <c r="W509" s="164">
        <v>350</v>
      </c>
      <c r="X509" s="514"/>
      <c r="Y509" s="514"/>
      <c r="Z509" s="514"/>
      <c r="AA509" s="514"/>
      <c r="AB509" s="514"/>
      <c r="AC509" s="514"/>
      <c r="AD509" s="514"/>
      <c r="AE509" s="164"/>
      <c r="AF509" s="160"/>
      <c r="AG509" s="160">
        <f>+AG510</f>
        <v>248</v>
      </c>
      <c r="AH509" s="170">
        <f t="shared" si="13"/>
        <v>70.857142857142847</v>
      </c>
    </row>
    <row r="510" spans="1:34" ht="21.75" customHeight="1" x14ac:dyDescent="0.2">
      <c r="A510" s="141"/>
      <c r="B510" s="515" t="s">
        <v>345</v>
      </c>
      <c r="C510" s="515"/>
      <c r="D510" s="515"/>
      <c r="E510" s="515"/>
      <c r="F510" s="515"/>
      <c r="G510" s="515"/>
      <c r="H510" s="515"/>
      <c r="I510" s="515"/>
      <c r="J510" s="515"/>
      <c r="K510" s="515"/>
      <c r="L510" s="515"/>
      <c r="M510" s="515"/>
      <c r="N510" s="143">
        <v>991</v>
      </c>
      <c r="O510" s="144">
        <v>4</v>
      </c>
      <c r="P510" s="144">
        <v>12</v>
      </c>
      <c r="Q510" s="145" t="s">
        <v>427</v>
      </c>
      <c r="R510" s="146" t="s">
        <v>24</v>
      </c>
      <c r="S510" s="500"/>
      <c r="T510" s="500"/>
      <c r="U510" s="164">
        <v>350</v>
      </c>
      <c r="V510" s="164">
        <v>0</v>
      </c>
      <c r="W510" s="164">
        <v>350</v>
      </c>
      <c r="X510" s="514"/>
      <c r="Y510" s="514"/>
      <c r="Z510" s="514"/>
      <c r="AA510" s="514"/>
      <c r="AB510" s="514"/>
      <c r="AC510" s="514"/>
      <c r="AD510" s="514"/>
      <c r="AE510" s="164"/>
      <c r="AF510" s="160"/>
      <c r="AG510" s="160">
        <f>+AG511</f>
        <v>248</v>
      </c>
      <c r="AH510" s="170">
        <f t="shared" si="13"/>
        <v>70.857142857142847</v>
      </c>
    </row>
    <row r="511" spans="1:34" ht="21.75" customHeight="1" x14ac:dyDescent="0.2">
      <c r="A511" s="141"/>
      <c r="B511" s="515" t="s">
        <v>346</v>
      </c>
      <c r="C511" s="515"/>
      <c r="D511" s="515"/>
      <c r="E511" s="515"/>
      <c r="F511" s="515"/>
      <c r="G511" s="515"/>
      <c r="H511" s="515"/>
      <c r="I511" s="515"/>
      <c r="J511" s="515"/>
      <c r="K511" s="515"/>
      <c r="L511" s="515"/>
      <c r="M511" s="515"/>
      <c r="N511" s="143">
        <v>991</v>
      </c>
      <c r="O511" s="144">
        <v>4</v>
      </c>
      <c r="P511" s="144">
        <v>12</v>
      </c>
      <c r="Q511" s="145" t="s">
        <v>427</v>
      </c>
      <c r="R511" s="146" t="s">
        <v>26</v>
      </c>
      <c r="S511" s="500"/>
      <c r="T511" s="500"/>
      <c r="U511" s="164">
        <v>350</v>
      </c>
      <c r="V511" s="164">
        <v>0</v>
      </c>
      <c r="W511" s="164">
        <v>350</v>
      </c>
      <c r="X511" s="514"/>
      <c r="Y511" s="514"/>
      <c r="Z511" s="514"/>
      <c r="AA511" s="514"/>
      <c r="AB511" s="514"/>
      <c r="AC511" s="514"/>
      <c r="AD511" s="514"/>
      <c r="AE511" s="164"/>
      <c r="AF511" s="160"/>
      <c r="AG511" s="160">
        <f>+AG512</f>
        <v>248</v>
      </c>
      <c r="AH511" s="170">
        <f t="shared" si="13"/>
        <v>70.857142857142847</v>
      </c>
    </row>
    <row r="512" spans="1:34" ht="12" customHeight="1" x14ac:dyDescent="0.2">
      <c r="A512" s="141"/>
      <c r="B512" s="515" t="s">
        <v>348</v>
      </c>
      <c r="C512" s="515"/>
      <c r="D512" s="515"/>
      <c r="E512" s="515"/>
      <c r="F512" s="515"/>
      <c r="G512" s="515"/>
      <c r="H512" s="515"/>
      <c r="I512" s="515"/>
      <c r="J512" s="515"/>
      <c r="K512" s="515"/>
      <c r="L512" s="515"/>
      <c r="M512" s="515"/>
      <c r="N512" s="143">
        <v>991</v>
      </c>
      <c r="O512" s="144">
        <v>4</v>
      </c>
      <c r="P512" s="144">
        <v>12</v>
      </c>
      <c r="Q512" s="145" t="s">
        <v>427</v>
      </c>
      <c r="R512" s="146" t="s">
        <v>28</v>
      </c>
      <c r="S512" s="500"/>
      <c r="T512" s="500"/>
      <c r="U512" s="164">
        <v>350</v>
      </c>
      <c r="V512" s="164">
        <v>0</v>
      </c>
      <c r="W512" s="164">
        <v>350</v>
      </c>
      <c r="X512" s="514"/>
      <c r="Y512" s="514"/>
      <c r="Z512" s="514"/>
      <c r="AA512" s="514"/>
      <c r="AB512" s="514"/>
      <c r="AC512" s="514"/>
      <c r="AD512" s="514"/>
      <c r="AE512" s="164"/>
      <c r="AF512" s="160"/>
      <c r="AG512" s="160">
        <v>248</v>
      </c>
      <c r="AH512" s="170">
        <f t="shared" si="13"/>
        <v>70.857142857142847</v>
      </c>
    </row>
    <row r="513" spans="1:34" ht="32.25" customHeight="1" x14ac:dyDescent="0.2">
      <c r="A513" s="141"/>
      <c r="B513" s="515" t="s">
        <v>93</v>
      </c>
      <c r="C513" s="515"/>
      <c r="D513" s="515"/>
      <c r="E513" s="515"/>
      <c r="F513" s="515"/>
      <c r="G513" s="515"/>
      <c r="H513" s="515"/>
      <c r="I513" s="515"/>
      <c r="J513" s="515"/>
      <c r="K513" s="515"/>
      <c r="L513" s="515"/>
      <c r="M513" s="515"/>
      <c r="N513" s="143">
        <v>991</v>
      </c>
      <c r="O513" s="144">
        <v>4</v>
      </c>
      <c r="P513" s="144">
        <v>12</v>
      </c>
      <c r="Q513" s="145" t="s">
        <v>425</v>
      </c>
      <c r="R513" s="146">
        <v>0</v>
      </c>
      <c r="S513" s="500"/>
      <c r="T513" s="500"/>
      <c r="U513" s="164">
        <v>2325.1</v>
      </c>
      <c r="V513" s="164">
        <v>0</v>
      </c>
      <c r="W513" s="164">
        <v>2325.1</v>
      </c>
      <c r="X513" s="514"/>
      <c r="Y513" s="514"/>
      <c r="Z513" s="514"/>
      <c r="AA513" s="514"/>
      <c r="AB513" s="514"/>
      <c r="AC513" s="514"/>
      <c r="AD513" s="514"/>
      <c r="AE513" s="164"/>
      <c r="AF513" s="160"/>
      <c r="AG513" s="160">
        <f>+AG514</f>
        <v>0</v>
      </c>
      <c r="AH513" s="170">
        <f t="shared" si="13"/>
        <v>0</v>
      </c>
    </row>
    <row r="514" spans="1:34" ht="21.75" customHeight="1" x14ac:dyDescent="0.2">
      <c r="A514" s="141"/>
      <c r="B514" s="515" t="s">
        <v>94</v>
      </c>
      <c r="C514" s="515"/>
      <c r="D514" s="515"/>
      <c r="E514" s="515"/>
      <c r="F514" s="515"/>
      <c r="G514" s="515"/>
      <c r="H514" s="515"/>
      <c r="I514" s="515"/>
      <c r="J514" s="515"/>
      <c r="K514" s="515"/>
      <c r="L514" s="515"/>
      <c r="M514" s="515"/>
      <c r="N514" s="143">
        <v>991</v>
      </c>
      <c r="O514" s="144">
        <v>4</v>
      </c>
      <c r="P514" s="144">
        <v>12</v>
      </c>
      <c r="Q514" s="145" t="s">
        <v>426</v>
      </c>
      <c r="R514" s="146">
        <v>0</v>
      </c>
      <c r="S514" s="500"/>
      <c r="T514" s="500"/>
      <c r="U514" s="164">
        <v>2325.1</v>
      </c>
      <c r="V514" s="164">
        <v>0</v>
      </c>
      <c r="W514" s="164">
        <v>2325.1</v>
      </c>
      <c r="X514" s="514"/>
      <c r="Y514" s="514"/>
      <c r="Z514" s="514"/>
      <c r="AA514" s="514"/>
      <c r="AB514" s="514"/>
      <c r="AC514" s="514"/>
      <c r="AD514" s="514"/>
      <c r="AE514" s="164"/>
      <c r="AF514" s="160"/>
      <c r="AG514" s="160">
        <f>+AG515</f>
        <v>0</v>
      </c>
      <c r="AH514" s="170">
        <f t="shared" si="13"/>
        <v>0</v>
      </c>
    </row>
    <row r="515" spans="1:34" ht="12" customHeight="1" x14ac:dyDescent="0.2">
      <c r="A515" s="141"/>
      <c r="B515" s="515" t="s">
        <v>559</v>
      </c>
      <c r="C515" s="515"/>
      <c r="D515" s="515"/>
      <c r="E515" s="515"/>
      <c r="F515" s="515"/>
      <c r="G515" s="515"/>
      <c r="H515" s="515"/>
      <c r="I515" s="515"/>
      <c r="J515" s="515"/>
      <c r="K515" s="515"/>
      <c r="L515" s="515"/>
      <c r="M515" s="515"/>
      <c r="N515" s="143">
        <v>991</v>
      </c>
      <c r="O515" s="144">
        <v>4</v>
      </c>
      <c r="P515" s="144">
        <v>12</v>
      </c>
      <c r="Q515" s="145" t="s">
        <v>560</v>
      </c>
      <c r="R515" s="146">
        <v>0</v>
      </c>
      <c r="S515" s="500"/>
      <c r="T515" s="500"/>
      <c r="U515" s="164">
        <v>2325.1</v>
      </c>
      <c r="V515" s="164">
        <v>0</v>
      </c>
      <c r="W515" s="164">
        <v>2325.1</v>
      </c>
      <c r="X515" s="514"/>
      <c r="Y515" s="514"/>
      <c r="Z515" s="514"/>
      <c r="AA515" s="514"/>
      <c r="AB515" s="514"/>
      <c r="AC515" s="514"/>
      <c r="AD515" s="514"/>
      <c r="AE515" s="164"/>
      <c r="AF515" s="160"/>
      <c r="AG515" s="160">
        <f>+AG516</f>
        <v>0</v>
      </c>
      <c r="AH515" s="170">
        <f t="shared" si="13"/>
        <v>0</v>
      </c>
    </row>
    <row r="516" spans="1:34" ht="21.75" customHeight="1" x14ac:dyDescent="0.2">
      <c r="A516" s="141"/>
      <c r="B516" s="515" t="s">
        <v>345</v>
      </c>
      <c r="C516" s="515"/>
      <c r="D516" s="515"/>
      <c r="E516" s="515"/>
      <c r="F516" s="515"/>
      <c r="G516" s="515"/>
      <c r="H516" s="515"/>
      <c r="I516" s="515"/>
      <c r="J516" s="515"/>
      <c r="K516" s="515"/>
      <c r="L516" s="515"/>
      <c r="M516" s="515"/>
      <c r="N516" s="143">
        <v>991</v>
      </c>
      <c r="O516" s="144">
        <v>4</v>
      </c>
      <c r="P516" s="144">
        <v>12</v>
      </c>
      <c r="Q516" s="145" t="s">
        <v>560</v>
      </c>
      <c r="R516" s="146" t="s">
        <v>24</v>
      </c>
      <c r="S516" s="500"/>
      <c r="T516" s="500"/>
      <c r="U516" s="164">
        <v>2325.1</v>
      </c>
      <c r="V516" s="164">
        <v>0</v>
      </c>
      <c r="W516" s="164">
        <v>2325.1</v>
      </c>
      <c r="X516" s="514"/>
      <c r="Y516" s="514"/>
      <c r="Z516" s="514"/>
      <c r="AA516" s="514"/>
      <c r="AB516" s="514"/>
      <c r="AC516" s="514"/>
      <c r="AD516" s="514"/>
      <c r="AE516" s="164"/>
      <c r="AF516" s="160"/>
      <c r="AG516" s="160">
        <f>+AG517</f>
        <v>0</v>
      </c>
      <c r="AH516" s="170">
        <f t="shared" si="13"/>
        <v>0</v>
      </c>
    </row>
    <row r="517" spans="1:34" ht="21.75" customHeight="1" x14ac:dyDescent="0.2">
      <c r="A517" s="141"/>
      <c r="B517" s="515" t="s">
        <v>346</v>
      </c>
      <c r="C517" s="515"/>
      <c r="D517" s="515"/>
      <c r="E517" s="515"/>
      <c r="F517" s="515"/>
      <c r="G517" s="515"/>
      <c r="H517" s="515"/>
      <c r="I517" s="515"/>
      <c r="J517" s="515"/>
      <c r="K517" s="515"/>
      <c r="L517" s="515"/>
      <c r="M517" s="515"/>
      <c r="N517" s="143">
        <v>991</v>
      </c>
      <c r="O517" s="144">
        <v>4</v>
      </c>
      <c r="P517" s="144">
        <v>12</v>
      </c>
      <c r="Q517" s="145" t="s">
        <v>560</v>
      </c>
      <c r="R517" s="146" t="s">
        <v>26</v>
      </c>
      <c r="S517" s="500"/>
      <c r="T517" s="500"/>
      <c r="U517" s="164">
        <v>2325.1</v>
      </c>
      <c r="V517" s="164">
        <v>0</v>
      </c>
      <c r="W517" s="164">
        <v>2325.1</v>
      </c>
      <c r="X517" s="514"/>
      <c r="Y517" s="514"/>
      <c r="Z517" s="514"/>
      <c r="AA517" s="514"/>
      <c r="AB517" s="514"/>
      <c r="AC517" s="514"/>
      <c r="AD517" s="514"/>
      <c r="AE517" s="164"/>
      <c r="AF517" s="160"/>
      <c r="AG517" s="160">
        <f>+AG518</f>
        <v>0</v>
      </c>
      <c r="AH517" s="170">
        <f t="shared" si="13"/>
        <v>0</v>
      </c>
    </row>
    <row r="518" spans="1:34" ht="12" customHeight="1" x14ac:dyDescent="0.2">
      <c r="A518" s="141"/>
      <c r="B518" s="515" t="s">
        <v>348</v>
      </c>
      <c r="C518" s="515"/>
      <c r="D518" s="515"/>
      <c r="E518" s="515"/>
      <c r="F518" s="515"/>
      <c r="G518" s="515"/>
      <c r="H518" s="515"/>
      <c r="I518" s="515"/>
      <c r="J518" s="515"/>
      <c r="K518" s="515"/>
      <c r="L518" s="515"/>
      <c r="M518" s="515"/>
      <c r="N518" s="143">
        <v>991</v>
      </c>
      <c r="O518" s="144">
        <v>4</v>
      </c>
      <c r="P518" s="144">
        <v>12</v>
      </c>
      <c r="Q518" s="145" t="s">
        <v>560</v>
      </c>
      <c r="R518" s="146" t="s">
        <v>28</v>
      </c>
      <c r="S518" s="500"/>
      <c r="T518" s="500"/>
      <c r="U518" s="164">
        <v>2325.1</v>
      </c>
      <c r="V518" s="164">
        <v>0</v>
      </c>
      <c r="W518" s="164">
        <v>2325.1</v>
      </c>
      <c r="X518" s="514"/>
      <c r="Y518" s="514"/>
      <c r="Z518" s="514"/>
      <c r="AA518" s="514"/>
      <c r="AB518" s="514"/>
      <c r="AC518" s="514"/>
      <c r="AD518" s="514"/>
      <c r="AE518" s="164"/>
      <c r="AF518" s="160"/>
      <c r="AG518" s="160"/>
      <c r="AH518" s="170">
        <f t="shared" si="13"/>
        <v>0</v>
      </c>
    </row>
    <row r="519" spans="1:34" ht="12" customHeight="1" x14ac:dyDescent="0.2">
      <c r="A519" s="141"/>
      <c r="B519" s="515" t="s">
        <v>428</v>
      </c>
      <c r="C519" s="515"/>
      <c r="D519" s="515"/>
      <c r="E519" s="515"/>
      <c r="F519" s="515"/>
      <c r="G519" s="515"/>
      <c r="H519" s="515"/>
      <c r="I519" s="515"/>
      <c r="J519" s="515"/>
      <c r="K519" s="515"/>
      <c r="L519" s="515"/>
      <c r="M519" s="515"/>
      <c r="N519" s="143">
        <v>991</v>
      </c>
      <c r="O519" s="144">
        <v>5</v>
      </c>
      <c r="P519" s="144">
        <v>0</v>
      </c>
      <c r="Q519" s="145">
        <v>0</v>
      </c>
      <c r="R519" s="146">
        <v>0</v>
      </c>
      <c r="S519" s="500"/>
      <c r="T519" s="500"/>
      <c r="U519" s="164">
        <v>1060</v>
      </c>
      <c r="V519" s="164">
        <v>0</v>
      </c>
      <c r="W519" s="164">
        <v>1060</v>
      </c>
      <c r="X519" s="514"/>
      <c r="Y519" s="514"/>
      <c r="Z519" s="514"/>
      <c r="AA519" s="514"/>
      <c r="AB519" s="514"/>
      <c r="AC519" s="514"/>
      <c r="AD519" s="514"/>
      <c r="AE519" s="164"/>
      <c r="AF519" s="160"/>
      <c r="AG519" s="160">
        <f t="shared" ref="AG519:AG525" si="16">+AG520</f>
        <v>115</v>
      </c>
      <c r="AH519" s="170">
        <f t="shared" si="13"/>
        <v>10.849056603773585</v>
      </c>
    </row>
    <row r="520" spans="1:34" ht="12" customHeight="1" x14ac:dyDescent="0.2">
      <c r="A520" s="141"/>
      <c r="B520" s="515" t="s">
        <v>96</v>
      </c>
      <c r="C520" s="515"/>
      <c r="D520" s="515"/>
      <c r="E520" s="515"/>
      <c r="F520" s="515"/>
      <c r="G520" s="515"/>
      <c r="H520" s="515"/>
      <c r="I520" s="515"/>
      <c r="J520" s="515"/>
      <c r="K520" s="515"/>
      <c r="L520" s="515"/>
      <c r="M520" s="515"/>
      <c r="N520" s="143">
        <v>991</v>
      </c>
      <c r="O520" s="144">
        <v>5</v>
      </c>
      <c r="P520" s="144">
        <v>3</v>
      </c>
      <c r="Q520" s="145">
        <v>0</v>
      </c>
      <c r="R520" s="146">
        <v>0</v>
      </c>
      <c r="S520" s="500"/>
      <c r="T520" s="500"/>
      <c r="U520" s="164">
        <v>1060</v>
      </c>
      <c r="V520" s="164">
        <v>0</v>
      </c>
      <c r="W520" s="164">
        <v>1060</v>
      </c>
      <c r="X520" s="514"/>
      <c r="Y520" s="514"/>
      <c r="Z520" s="514"/>
      <c r="AA520" s="514"/>
      <c r="AB520" s="514"/>
      <c r="AC520" s="514"/>
      <c r="AD520" s="514"/>
      <c r="AE520" s="164"/>
      <c r="AF520" s="160"/>
      <c r="AG520" s="160">
        <f t="shared" si="16"/>
        <v>115</v>
      </c>
      <c r="AH520" s="170">
        <f t="shared" si="13"/>
        <v>10.849056603773585</v>
      </c>
    </row>
    <row r="521" spans="1:34" ht="21.75" customHeight="1" x14ac:dyDescent="0.2">
      <c r="A521" s="141"/>
      <c r="B521" s="515" t="s">
        <v>91</v>
      </c>
      <c r="C521" s="515"/>
      <c r="D521" s="515"/>
      <c r="E521" s="515"/>
      <c r="F521" s="515"/>
      <c r="G521" s="515"/>
      <c r="H521" s="515"/>
      <c r="I521" s="515"/>
      <c r="J521" s="515"/>
      <c r="K521" s="515"/>
      <c r="L521" s="515"/>
      <c r="M521" s="515"/>
      <c r="N521" s="143">
        <v>991</v>
      </c>
      <c r="O521" s="144">
        <v>5</v>
      </c>
      <c r="P521" s="144">
        <v>3</v>
      </c>
      <c r="Q521" s="145" t="s">
        <v>421</v>
      </c>
      <c r="R521" s="146">
        <v>0</v>
      </c>
      <c r="S521" s="500"/>
      <c r="T521" s="500"/>
      <c r="U521" s="164">
        <v>1060</v>
      </c>
      <c r="V521" s="164">
        <v>0</v>
      </c>
      <c r="W521" s="164">
        <v>1060</v>
      </c>
      <c r="X521" s="514"/>
      <c r="Y521" s="514"/>
      <c r="Z521" s="514"/>
      <c r="AA521" s="514"/>
      <c r="AB521" s="514"/>
      <c r="AC521" s="514"/>
      <c r="AD521" s="514"/>
      <c r="AE521" s="164"/>
      <c r="AF521" s="160"/>
      <c r="AG521" s="160">
        <f t="shared" si="16"/>
        <v>115</v>
      </c>
      <c r="AH521" s="170">
        <f t="shared" si="13"/>
        <v>10.849056603773585</v>
      </c>
    </row>
    <row r="522" spans="1:34" ht="12" customHeight="1" x14ac:dyDescent="0.2">
      <c r="A522" s="141"/>
      <c r="B522" s="515" t="s">
        <v>97</v>
      </c>
      <c r="C522" s="515"/>
      <c r="D522" s="515"/>
      <c r="E522" s="515"/>
      <c r="F522" s="515"/>
      <c r="G522" s="515"/>
      <c r="H522" s="515"/>
      <c r="I522" s="515"/>
      <c r="J522" s="515"/>
      <c r="K522" s="515"/>
      <c r="L522" s="515"/>
      <c r="M522" s="515"/>
      <c r="N522" s="143">
        <v>991</v>
      </c>
      <c r="O522" s="144">
        <v>5</v>
      </c>
      <c r="P522" s="144">
        <v>3</v>
      </c>
      <c r="Q522" s="145" t="s">
        <v>429</v>
      </c>
      <c r="R522" s="146">
        <v>0</v>
      </c>
      <c r="S522" s="500"/>
      <c r="T522" s="500"/>
      <c r="U522" s="164">
        <v>1060</v>
      </c>
      <c r="V522" s="164">
        <v>0</v>
      </c>
      <c r="W522" s="164">
        <v>1060</v>
      </c>
      <c r="X522" s="514"/>
      <c r="Y522" s="514"/>
      <c r="Z522" s="514"/>
      <c r="AA522" s="514"/>
      <c r="AB522" s="514"/>
      <c r="AC522" s="514"/>
      <c r="AD522" s="514"/>
      <c r="AE522" s="164"/>
      <c r="AF522" s="160"/>
      <c r="AG522" s="160">
        <f t="shared" si="16"/>
        <v>115</v>
      </c>
      <c r="AH522" s="170">
        <f t="shared" si="13"/>
        <v>10.849056603773585</v>
      </c>
    </row>
    <row r="523" spans="1:34" ht="12" customHeight="1" x14ac:dyDescent="0.2">
      <c r="A523" s="141"/>
      <c r="B523" s="515" t="s">
        <v>98</v>
      </c>
      <c r="C523" s="515"/>
      <c r="D523" s="515"/>
      <c r="E523" s="515"/>
      <c r="F523" s="515"/>
      <c r="G523" s="515"/>
      <c r="H523" s="515"/>
      <c r="I523" s="515"/>
      <c r="J523" s="515"/>
      <c r="K523" s="515"/>
      <c r="L523" s="515"/>
      <c r="M523" s="515"/>
      <c r="N523" s="143">
        <v>991</v>
      </c>
      <c r="O523" s="144">
        <v>5</v>
      </c>
      <c r="P523" s="144">
        <v>3</v>
      </c>
      <c r="Q523" s="145" t="s">
        <v>430</v>
      </c>
      <c r="R523" s="146">
        <v>0</v>
      </c>
      <c r="S523" s="500"/>
      <c r="T523" s="500"/>
      <c r="U523" s="164">
        <v>1060</v>
      </c>
      <c r="V523" s="164">
        <v>0</v>
      </c>
      <c r="W523" s="164">
        <v>1060</v>
      </c>
      <c r="X523" s="514"/>
      <c r="Y523" s="514"/>
      <c r="Z523" s="514"/>
      <c r="AA523" s="514"/>
      <c r="AB523" s="514"/>
      <c r="AC523" s="514"/>
      <c r="AD523" s="514"/>
      <c r="AE523" s="164"/>
      <c r="AF523" s="160"/>
      <c r="AG523" s="160">
        <f t="shared" si="16"/>
        <v>115</v>
      </c>
      <c r="AH523" s="170">
        <f t="shared" si="13"/>
        <v>10.849056603773585</v>
      </c>
    </row>
    <row r="524" spans="1:34" ht="21.75" customHeight="1" x14ac:dyDescent="0.2">
      <c r="A524" s="141"/>
      <c r="B524" s="515" t="s">
        <v>345</v>
      </c>
      <c r="C524" s="515"/>
      <c r="D524" s="515"/>
      <c r="E524" s="515"/>
      <c r="F524" s="515"/>
      <c r="G524" s="515"/>
      <c r="H524" s="515"/>
      <c r="I524" s="515"/>
      <c r="J524" s="515"/>
      <c r="K524" s="515"/>
      <c r="L524" s="515"/>
      <c r="M524" s="515"/>
      <c r="N524" s="143">
        <v>991</v>
      </c>
      <c r="O524" s="144">
        <v>5</v>
      </c>
      <c r="P524" s="144">
        <v>3</v>
      </c>
      <c r="Q524" s="145" t="s">
        <v>430</v>
      </c>
      <c r="R524" s="146" t="s">
        <v>24</v>
      </c>
      <c r="S524" s="500"/>
      <c r="T524" s="500"/>
      <c r="U524" s="164">
        <v>1060</v>
      </c>
      <c r="V524" s="164">
        <v>0</v>
      </c>
      <c r="W524" s="164">
        <v>1060</v>
      </c>
      <c r="X524" s="514"/>
      <c r="Y524" s="514"/>
      <c r="Z524" s="514"/>
      <c r="AA524" s="514"/>
      <c r="AB524" s="514"/>
      <c r="AC524" s="514"/>
      <c r="AD524" s="514"/>
      <c r="AE524" s="164"/>
      <c r="AF524" s="160"/>
      <c r="AG524" s="160">
        <f t="shared" si="16"/>
        <v>115</v>
      </c>
      <c r="AH524" s="170">
        <f t="shared" si="13"/>
        <v>10.849056603773585</v>
      </c>
    </row>
    <row r="525" spans="1:34" ht="21.75" customHeight="1" x14ac:dyDescent="0.2">
      <c r="A525" s="141"/>
      <c r="B525" s="515" t="s">
        <v>346</v>
      </c>
      <c r="C525" s="515"/>
      <c r="D525" s="515"/>
      <c r="E525" s="515"/>
      <c r="F525" s="515"/>
      <c r="G525" s="515"/>
      <c r="H525" s="515"/>
      <c r="I525" s="515"/>
      <c r="J525" s="515"/>
      <c r="K525" s="515"/>
      <c r="L525" s="515"/>
      <c r="M525" s="515"/>
      <c r="N525" s="143">
        <v>991</v>
      </c>
      <c r="O525" s="144">
        <v>5</v>
      </c>
      <c r="P525" s="144">
        <v>3</v>
      </c>
      <c r="Q525" s="145" t="s">
        <v>430</v>
      </c>
      <c r="R525" s="146" t="s">
        <v>26</v>
      </c>
      <c r="S525" s="500"/>
      <c r="T525" s="500"/>
      <c r="U525" s="164">
        <v>1060</v>
      </c>
      <c r="V525" s="164">
        <v>0</v>
      </c>
      <c r="W525" s="164">
        <v>1060</v>
      </c>
      <c r="X525" s="514"/>
      <c r="Y525" s="514"/>
      <c r="Z525" s="514"/>
      <c r="AA525" s="514"/>
      <c r="AB525" s="514"/>
      <c r="AC525" s="514"/>
      <c r="AD525" s="514"/>
      <c r="AE525" s="164"/>
      <c r="AF525" s="160"/>
      <c r="AG525" s="160">
        <f t="shared" si="16"/>
        <v>115</v>
      </c>
      <c r="AH525" s="170">
        <f t="shared" si="13"/>
        <v>10.849056603773585</v>
      </c>
    </row>
    <row r="526" spans="1:34" ht="12" customHeight="1" x14ac:dyDescent="0.2">
      <c r="A526" s="141"/>
      <c r="B526" s="515" t="s">
        <v>348</v>
      </c>
      <c r="C526" s="515"/>
      <c r="D526" s="515"/>
      <c r="E526" s="515"/>
      <c r="F526" s="515"/>
      <c r="G526" s="515"/>
      <c r="H526" s="515"/>
      <c r="I526" s="515"/>
      <c r="J526" s="515"/>
      <c r="K526" s="515"/>
      <c r="L526" s="515"/>
      <c r="M526" s="515"/>
      <c r="N526" s="143">
        <v>991</v>
      </c>
      <c r="O526" s="144">
        <v>5</v>
      </c>
      <c r="P526" s="144">
        <v>3</v>
      </c>
      <c r="Q526" s="145" t="s">
        <v>430</v>
      </c>
      <c r="R526" s="146" t="s">
        <v>28</v>
      </c>
      <c r="S526" s="500"/>
      <c r="T526" s="500"/>
      <c r="U526" s="164">
        <v>1060</v>
      </c>
      <c r="V526" s="164">
        <v>0</v>
      </c>
      <c r="W526" s="164">
        <v>1060</v>
      </c>
      <c r="X526" s="514"/>
      <c r="Y526" s="514"/>
      <c r="Z526" s="514"/>
      <c r="AA526" s="514"/>
      <c r="AB526" s="514"/>
      <c r="AC526" s="514"/>
      <c r="AD526" s="514"/>
      <c r="AE526" s="164"/>
      <c r="AF526" s="160"/>
      <c r="AG526" s="160">
        <v>115</v>
      </c>
      <c r="AH526" s="170">
        <f t="shared" si="13"/>
        <v>10.849056603773585</v>
      </c>
    </row>
    <row r="527" spans="1:34" ht="12" customHeight="1" x14ac:dyDescent="0.2">
      <c r="A527" s="141"/>
      <c r="B527" s="515" t="s">
        <v>5</v>
      </c>
      <c r="C527" s="515"/>
      <c r="D527" s="515"/>
      <c r="E527" s="515"/>
      <c r="F527" s="515"/>
      <c r="G527" s="515"/>
      <c r="H527" s="515"/>
      <c r="I527" s="515"/>
      <c r="J527" s="515"/>
      <c r="K527" s="515"/>
      <c r="L527" s="515"/>
      <c r="M527" s="515"/>
      <c r="N527" s="143">
        <v>991</v>
      </c>
      <c r="O527" s="144">
        <v>7</v>
      </c>
      <c r="P527" s="144">
        <v>0</v>
      </c>
      <c r="Q527" s="145">
        <v>0</v>
      </c>
      <c r="R527" s="146">
        <v>0</v>
      </c>
      <c r="S527" s="500"/>
      <c r="T527" s="500"/>
      <c r="U527" s="164">
        <v>463.4</v>
      </c>
      <c r="V527" s="164">
        <v>0</v>
      </c>
      <c r="W527" s="164">
        <v>463.4</v>
      </c>
      <c r="X527" s="514"/>
      <c r="Y527" s="514"/>
      <c r="Z527" s="514"/>
      <c r="AA527" s="514"/>
      <c r="AB527" s="514"/>
      <c r="AC527" s="514"/>
      <c r="AD527" s="514"/>
      <c r="AE527" s="164"/>
      <c r="AF527" s="160"/>
      <c r="AG527" s="160">
        <f>+AG528</f>
        <v>70.915750000000003</v>
      </c>
      <c r="AH527" s="170">
        <f t="shared" si="13"/>
        <v>15.303355632283125</v>
      </c>
    </row>
    <row r="528" spans="1:34" ht="12" customHeight="1" x14ac:dyDescent="0.2">
      <c r="A528" s="141"/>
      <c r="B528" s="515" t="s">
        <v>75</v>
      </c>
      <c r="C528" s="515"/>
      <c r="D528" s="515"/>
      <c r="E528" s="515"/>
      <c r="F528" s="515"/>
      <c r="G528" s="515"/>
      <c r="H528" s="515"/>
      <c r="I528" s="515"/>
      <c r="J528" s="515"/>
      <c r="K528" s="515"/>
      <c r="L528" s="515"/>
      <c r="M528" s="515"/>
      <c r="N528" s="143">
        <v>991</v>
      </c>
      <c r="O528" s="144">
        <v>7</v>
      </c>
      <c r="P528" s="144">
        <v>9</v>
      </c>
      <c r="Q528" s="145">
        <v>0</v>
      </c>
      <c r="R528" s="146">
        <v>0</v>
      </c>
      <c r="S528" s="500"/>
      <c r="T528" s="500"/>
      <c r="U528" s="164">
        <v>463.4</v>
      </c>
      <c r="V528" s="164">
        <v>0</v>
      </c>
      <c r="W528" s="164">
        <v>463.4</v>
      </c>
      <c r="X528" s="514"/>
      <c r="Y528" s="514"/>
      <c r="Z528" s="514"/>
      <c r="AA528" s="514"/>
      <c r="AB528" s="514"/>
      <c r="AC528" s="514"/>
      <c r="AD528" s="514"/>
      <c r="AE528" s="164"/>
      <c r="AF528" s="160"/>
      <c r="AG528" s="160">
        <f>+AG529</f>
        <v>70.915750000000003</v>
      </c>
      <c r="AH528" s="170">
        <f t="shared" si="13"/>
        <v>15.303355632283125</v>
      </c>
    </row>
    <row r="529" spans="1:34" ht="32.25" customHeight="1" x14ac:dyDescent="0.2">
      <c r="A529" s="141"/>
      <c r="B529" s="515" t="s">
        <v>357</v>
      </c>
      <c r="C529" s="515"/>
      <c r="D529" s="515"/>
      <c r="E529" s="515"/>
      <c r="F529" s="515"/>
      <c r="G529" s="515"/>
      <c r="H529" s="515"/>
      <c r="I529" s="515"/>
      <c r="J529" s="515"/>
      <c r="K529" s="515"/>
      <c r="L529" s="515"/>
      <c r="M529" s="515"/>
      <c r="N529" s="143">
        <v>991</v>
      </c>
      <c r="O529" s="144">
        <v>7</v>
      </c>
      <c r="P529" s="144">
        <v>9</v>
      </c>
      <c r="Q529" s="145" t="s">
        <v>358</v>
      </c>
      <c r="R529" s="146">
        <v>0</v>
      </c>
      <c r="S529" s="500"/>
      <c r="T529" s="500"/>
      <c r="U529" s="164">
        <v>463.4</v>
      </c>
      <c r="V529" s="164">
        <v>0</v>
      </c>
      <c r="W529" s="164">
        <v>463.4</v>
      </c>
      <c r="X529" s="514"/>
      <c r="Y529" s="514"/>
      <c r="Z529" s="514"/>
      <c r="AA529" s="514"/>
      <c r="AB529" s="514"/>
      <c r="AC529" s="514"/>
      <c r="AD529" s="514"/>
      <c r="AE529" s="164"/>
      <c r="AF529" s="160"/>
      <c r="AG529" s="160">
        <f>+AG530</f>
        <v>70.915750000000003</v>
      </c>
      <c r="AH529" s="170">
        <f t="shared" si="13"/>
        <v>15.303355632283125</v>
      </c>
    </row>
    <row r="530" spans="1:34" ht="32.25" customHeight="1" x14ac:dyDescent="0.2">
      <c r="A530" s="141"/>
      <c r="B530" s="515" t="s">
        <v>454</v>
      </c>
      <c r="C530" s="515"/>
      <c r="D530" s="515"/>
      <c r="E530" s="515"/>
      <c r="F530" s="515"/>
      <c r="G530" s="515"/>
      <c r="H530" s="515"/>
      <c r="I530" s="515"/>
      <c r="J530" s="515"/>
      <c r="K530" s="515"/>
      <c r="L530" s="515"/>
      <c r="M530" s="515"/>
      <c r="N530" s="143">
        <v>991</v>
      </c>
      <c r="O530" s="144">
        <v>7</v>
      </c>
      <c r="P530" s="144">
        <v>9</v>
      </c>
      <c r="Q530" s="145" t="s">
        <v>455</v>
      </c>
      <c r="R530" s="146">
        <v>0</v>
      </c>
      <c r="S530" s="500"/>
      <c r="T530" s="500"/>
      <c r="U530" s="164">
        <v>463.4</v>
      </c>
      <c r="V530" s="164">
        <v>0</v>
      </c>
      <c r="W530" s="164">
        <v>463.4</v>
      </c>
      <c r="X530" s="514"/>
      <c r="Y530" s="514"/>
      <c r="Z530" s="514"/>
      <c r="AA530" s="514"/>
      <c r="AB530" s="514"/>
      <c r="AC530" s="514"/>
      <c r="AD530" s="514"/>
      <c r="AE530" s="164"/>
      <c r="AF530" s="160"/>
      <c r="AG530" s="160">
        <f>+AG531+AG536</f>
        <v>70.915750000000003</v>
      </c>
      <c r="AH530" s="170">
        <f t="shared" si="13"/>
        <v>15.303355632283125</v>
      </c>
    </row>
    <row r="531" spans="1:34" ht="53.25" customHeight="1" x14ac:dyDescent="0.2">
      <c r="A531" s="141"/>
      <c r="B531" s="515" t="s">
        <v>17</v>
      </c>
      <c r="C531" s="515"/>
      <c r="D531" s="515"/>
      <c r="E531" s="515"/>
      <c r="F531" s="515"/>
      <c r="G531" s="515"/>
      <c r="H531" s="515"/>
      <c r="I531" s="515"/>
      <c r="J531" s="515"/>
      <c r="K531" s="515"/>
      <c r="L531" s="515"/>
      <c r="M531" s="515"/>
      <c r="N531" s="143">
        <v>991</v>
      </c>
      <c r="O531" s="144">
        <v>7</v>
      </c>
      <c r="P531" s="144">
        <v>9</v>
      </c>
      <c r="Q531" s="145" t="s">
        <v>455</v>
      </c>
      <c r="R531" s="146" t="s">
        <v>18</v>
      </c>
      <c r="S531" s="500"/>
      <c r="T531" s="500"/>
      <c r="U531" s="164">
        <v>405.58300000000003</v>
      </c>
      <c r="V531" s="164">
        <v>0</v>
      </c>
      <c r="W531" s="164">
        <v>405.58300000000003</v>
      </c>
      <c r="X531" s="514"/>
      <c r="Y531" s="514"/>
      <c r="Z531" s="514"/>
      <c r="AA531" s="514"/>
      <c r="AB531" s="514"/>
      <c r="AC531" s="514"/>
      <c r="AD531" s="514"/>
      <c r="AE531" s="164"/>
      <c r="AF531" s="160"/>
      <c r="AG531" s="160">
        <f>+AG532</f>
        <v>68.983109999999996</v>
      </c>
      <c r="AH531" s="170">
        <f t="shared" si="13"/>
        <v>17.008382994356268</v>
      </c>
    </row>
    <row r="532" spans="1:34" ht="21.75" customHeight="1" x14ac:dyDescent="0.2">
      <c r="A532" s="141"/>
      <c r="B532" s="515" t="s">
        <v>37</v>
      </c>
      <c r="C532" s="515"/>
      <c r="D532" s="515"/>
      <c r="E532" s="515"/>
      <c r="F532" s="515"/>
      <c r="G532" s="515"/>
      <c r="H532" s="515"/>
      <c r="I532" s="515"/>
      <c r="J532" s="515"/>
      <c r="K532" s="515"/>
      <c r="L532" s="515"/>
      <c r="M532" s="515"/>
      <c r="N532" s="143">
        <v>991</v>
      </c>
      <c r="O532" s="144">
        <v>7</v>
      </c>
      <c r="P532" s="144">
        <v>9</v>
      </c>
      <c r="Q532" s="145" t="s">
        <v>455</v>
      </c>
      <c r="R532" s="146" t="s">
        <v>38</v>
      </c>
      <c r="S532" s="500"/>
      <c r="T532" s="500"/>
      <c r="U532" s="164">
        <v>405.58300000000003</v>
      </c>
      <c r="V532" s="164">
        <v>0</v>
      </c>
      <c r="W532" s="164">
        <v>405.58300000000003</v>
      </c>
      <c r="X532" s="514"/>
      <c r="Y532" s="514"/>
      <c r="Z532" s="514"/>
      <c r="AA532" s="514"/>
      <c r="AB532" s="514"/>
      <c r="AC532" s="514"/>
      <c r="AD532" s="514"/>
      <c r="AE532" s="164"/>
      <c r="AF532" s="160"/>
      <c r="AG532" s="160">
        <f>+AG533+AG534+AG535</f>
        <v>68.983109999999996</v>
      </c>
      <c r="AH532" s="170">
        <f t="shared" si="13"/>
        <v>17.008382994356268</v>
      </c>
    </row>
    <row r="533" spans="1:34" ht="21.75" customHeight="1" x14ac:dyDescent="0.2">
      <c r="A533" s="141"/>
      <c r="B533" s="515" t="s">
        <v>333</v>
      </c>
      <c r="C533" s="515"/>
      <c r="D533" s="515"/>
      <c r="E533" s="515"/>
      <c r="F533" s="515"/>
      <c r="G533" s="515"/>
      <c r="H533" s="515"/>
      <c r="I533" s="515"/>
      <c r="J533" s="515"/>
      <c r="K533" s="515"/>
      <c r="L533" s="515"/>
      <c r="M533" s="515"/>
      <c r="N533" s="143">
        <v>991</v>
      </c>
      <c r="O533" s="144">
        <v>7</v>
      </c>
      <c r="P533" s="144">
        <v>9</v>
      </c>
      <c r="Q533" s="145" t="s">
        <v>455</v>
      </c>
      <c r="R533" s="146" t="s">
        <v>39</v>
      </c>
      <c r="S533" s="500"/>
      <c r="T533" s="500"/>
      <c r="U533" s="164">
        <v>303.05900000000003</v>
      </c>
      <c r="V533" s="164">
        <v>0</v>
      </c>
      <c r="W533" s="164">
        <v>303.05900000000003</v>
      </c>
      <c r="X533" s="514"/>
      <c r="Y533" s="514"/>
      <c r="Z533" s="514"/>
      <c r="AA533" s="514"/>
      <c r="AB533" s="514"/>
      <c r="AC533" s="514"/>
      <c r="AD533" s="514"/>
      <c r="AE533" s="164"/>
      <c r="AF533" s="160"/>
      <c r="AG533" s="160">
        <v>52.982419999999998</v>
      </c>
      <c r="AH533" s="170">
        <f t="shared" si="13"/>
        <v>17.482543003177597</v>
      </c>
    </row>
    <row r="534" spans="1:34" ht="32.25" customHeight="1" x14ac:dyDescent="0.2">
      <c r="A534" s="141"/>
      <c r="B534" s="515" t="s">
        <v>351</v>
      </c>
      <c r="C534" s="515"/>
      <c r="D534" s="515"/>
      <c r="E534" s="515"/>
      <c r="F534" s="515"/>
      <c r="G534" s="515"/>
      <c r="H534" s="515"/>
      <c r="I534" s="515"/>
      <c r="J534" s="515"/>
      <c r="K534" s="515"/>
      <c r="L534" s="515"/>
      <c r="M534" s="515"/>
      <c r="N534" s="143">
        <v>991</v>
      </c>
      <c r="O534" s="144">
        <v>7</v>
      </c>
      <c r="P534" s="144">
        <v>9</v>
      </c>
      <c r="Q534" s="145" t="s">
        <v>455</v>
      </c>
      <c r="R534" s="146" t="s">
        <v>40</v>
      </c>
      <c r="S534" s="500"/>
      <c r="T534" s="500"/>
      <c r="U534" s="164">
        <v>11</v>
      </c>
      <c r="V534" s="164">
        <v>0</v>
      </c>
      <c r="W534" s="164">
        <v>11</v>
      </c>
      <c r="X534" s="514"/>
      <c r="Y534" s="514"/>
      <c r="Z534" s="514"/>
      <c r="AA534" s="514"/>
      <c r="AB534" s="514"/>
      <c r="AC534" s="514"/>
      <c r="AD534" s="514"/>
      <c r="AE534" s="164"/>
      <c r="AF534" s="160"/>
      <c r="AG534" s="160"/>
      <c r="AH534" s="170">
        <f t="shared" si="13"/>
        <v>0</v>
      </c>
    </row>
    <row r="535" spans="1:34" ht="32.25" customHeight="1" x14ac:dyDescent="0.2">
      <c r="A535" s="141"/>
      <c r="B535" s="515" t="s">
        <v>334</v>
      </c>
      <c r="C535" s="515"/>
      <c r="D535" s="515"/>
      <c r="E535" s="515"/>
      <c r="F535" s="515"/>
      <c r="G535" s="515"/>
      <c r="H535" s="515"/>
      <c r="I535" s="515"/>
      <c r="J535" s="515"/>
      <c r="K535" s="515"/>
      <c r="L535" s="515"/>
      <c r="M535" s="515"/>
      <c r="N535" s="143">
        <v>991</v>
      </c>
      <c r="O535" s="144">
        <v>7</v>
      </c>
      <c r="P535" s="144">
        <v>9</v>
      </c>
      <c r="Q535" s="145" t="s">
        <v>455</v>
      </c>
      <c r="R535" s="146" t="s">
        <v>41</v>
      </c>
      <c r="S535" s="500"/>
      <c r="T535" s="500"/>
      <c r="U535" s="164">
        <v>91.524000000000001</v>
      </c>
      <c r="V535" s="164">
        <v>0</v>
      </c>
      <c r="W535" s="164">
        <v>91.524000000000001</v>
      </c>
      <c r="X535" s="514"/>
      <c r="Y535" s="514"/>
      <c r="Z535" s="514"/>
      <c r="AA535" s="514"/>
      <c r="AB535" s="514"/>
      <c r="AC535" s="514"/>
      <c r="AD535" s="514"/>
      <c r="AE535" s="164"/>
      <c r="AF535" s="160"/>
      <c r="AG535" s="160">
        <v>16.000689999999999</v>
      </c>
      <c r="AH535" s="170">
        <f t="shared" ref="AH535:AH602" si="17">AG535/U535*100</f>
        <v>17.482507320484242</v>
      </c>
    </row>
    <row r="536" spans="1:34" ht="21.75" customHeight="1" x14ac:dyDescent="0.2">
      <c r="A536" s="141"/>
      <c r="B536" s="515" t="s">
        <v>345</v>
      </c>
      <c r="C536" s="515"/>
      <c r="D536" s="515"/>
      <c r="E536" s="515"/>
      <c r="F536" s="515"/>
      <c r="G536" s="515"/>
      <c r="H536" s="515"/>
      <c r="I536" s="515"/>
      <c r="J536" s="515"/>
      <c r="K536" s="515"/>
      <c r="L536" s="515"/>
      <c r="M536" s="515"/>
      <c r="N536" s="143">
        <v>991</v>
      </c>
      <c r="O536" s="144">
        <v>7</v>
      </c>
      <c r="P536" s="144">
        <v>9</v>
      </c>
      <c r="Q536" s="145" t="s">
        <v>455</v>
      </c>
      <c r="R536" s="146" t="s">
        <v>24</v>
      </c>
      <c r="S536" s="500"/>
      <c r="T536" s="500"/>
      <c r="U536" s="164">
        <v>57.817</v>
      </c>
      <c r="V536" s="164">
        <v>0</v>
      </c>
      <c r="W536" s="164">
        <v>57.817</v>
      </c>
      <c r="X536" s="514"/>
      <c r="Y536" s="514"/>
      <c r="Z536" s="514"/>
      <c r="AA536" s="514"/>
      <c r="AB536" s="514"/>
      <c r="AC536" s="514"/>
      <c r="AD536" s="514"/>
      <c r="AE536" s="164"/>
      <c r="AF536" s="160"/>
      <c r="AG536" s="160">
        <f>+AG537</f>
        <v>1.9326399999999999</v>
      </c>
      <c r="AH536" s="170">
        <f t="shared" si="17"/>
        <v>3.3426846775169929</v>
      </c>
    </row>
    <row r="537" spans="1:34" ht="21.75" customHeight="1" x14ac:dyDescent="0.2">
      <c r="A537" s="141"/>
      <c r="B537" s="515" t="s">
        <v>346</v>
      </c>
      <c r="C537" s="515"/>
      <c r="D537" s="515"/>
      <c r="E537" s="515"/>
      <c r="F537" s="515"/>
      <c r="G537" s="515"/>
      <c r="H537" s="515"/>
      <c r="I537" s="515"/>
      <c r="J537" s="515"/>
      <c r="K537" s="515"/>
      <c r="L537" s="515"/>
      <c r="M537" s="515"/>
      <c r="N537" s="143">
        <v>991</v>
      </c>
      <c r="O537" s="144">
        <v>7</v>
      </c>
      <c r="P537" s="144">
        <v>9</v>
      </c>
      <c r="Q537" s="145" t="s">
        <v>455</v>
      </c>
      <c r="R537" s="146" t="s">
        <v>26</v>
      </c>
      <c r="S537" s="500"/>
      <c r="T537" s="500"/>
      <c r="U537" s="164">
        <v>57.817</v>
      </c>
      <c r="V537" s="164">
        <v>0</v>
      </c>
      <c r="W537" s="164">
        <v>57.817</v>
      </c>
      <c r="X537" s="514"/>
      <c r="Y537" s="514"/>
      <c r="Z537" s="514"/>
      <c r="AA537" s="514"/>
      <c r="AB537" s="514"/>
      <c r="AC537" s="514"/>
      <c r="AD537" s="514"/>
      <c r="AE537" s="164"/>
      <c r="AF537" s="160"/>
      <c r="AG537" s="160">
        <f>+AG538+AG539</f>
        <v>1.9326399999999999</v>
      </c>
      <c r="AH537" s="170">
        <f t="shared" si="17"/>
        <v>3.3426846775169929</v>
      </c>
    </row>
    <row r="538" spans="1:34" ht="21.75" customHeight="1" x14ac:dyDescent="0.2">
      <c r="A538" s="141"/>
      <c r="B538" s="515" t="s">
        <v>347</v>
      </c>
      <c r="C538" s="515"/>
      <c r="D538" s="515"/>
      <c r="E538" s="515"/>
      <c r="F538" s="515"/>
      <c r="G538" s="515"/>
      <c r="H538" s="515"/>
      <c r="I538" s="515"/>
      <c r="J538" s="515"/>
      <c r="K538" s="515"/>
      <c r="L538" s="515"/>
      <c r="M538" s="515"/>
      <c r="N538" s="143">
        <v>991</v>
      </c>
      <c r="O538" s="144">
        <v>7</v>
      </c>
      <c r="P538" s="144">
        <v>9</v>
      </c>
      <c r="Q538" s="145" t="s">
        <v>455</v>
      </c>
      <c r="R538" s="146" t="s">
        <v>27</v>
      </c>
      <c r="S538" s="500"/>
      <c r="T538" s="500"/>
      <c r="U538" s="164">
        <v>12</v>
      </c>
      <c r="V538" s="164">
        <v>0</v>
      </c>
      <c r="W538" s="164">
        <v>12</v>
      </c>
      <c r="X538" s="514"/>
      <c r="Y538" s="514"/>
      <c r="Z538" s="514"/>
      <c r="AA538" s="514"/>
      <c r="AB538" s="514"/>
      <c r="AC538" s="514"/>
      <c r="AD538" s="514"/>
      <c r="AE538" s="164"/>
      <c r="AF538" s="160"/>
      <c r="AG538" s="160"/>
      <c r="AH538" s="170">
        <f t="shared" si="17"/>
        <v>0</v>
      </c>
    </row>
    <row r="539" spans="1:34" ht="12" customHeight="1" x14ac:dyDescent="0.2">
      <c r="A539" s="141"/>
      <c r="B539" s="515" t="s">
        <v>348</v>
      </c>
      <c r="C539" s="515"/>
      <c r="D539" s="515"/>
      <c r="E539" s="515"/>
      <c r="F539" s="515"/>
      <c r="G539" s="515"/>
      <c r="H539" s="515"/>
      <c r="I539" s="515"/>
      <c r="J539" s="515"/>
      <c r="K539" s="515"/>
      <c r="L539" s="515"/>
      <c r="M539" s="515"/>
      <c r="N539" s="143">
        <v>991</v>
      </c>
      <c r="O539" s="144">
        <v>7</v>
      </c>
      <c r="P539" s="144">
        <v>9</v>
      </c>
      <c r="Q539" s="145" t="s">
        <v>455</v>
      </c>
      <c r="R539" s="146" t="s">
        <v>28</v>
      </c>
      <c r="S539" s="500"/>
      <c r="T539" s="500"/>
      <c r="U539" s="164">
        <v>45.817</v>
      </c>
      <c r="V539" s="164">
        <v>0</v>
      </c>
      <c r="W539" s="164">
        <v>45.817</v>
      </c>
      <c r="X539" s="514"/>
      <c r="Y539" s="514"/>
      <c r="Z539" s="514"/>
      <c r="AA539" s="514"/>
      <c r="AB539" s="514"/>
      <c r="AC539" s="514"/>
      <c r="AD539" s="514"/>
      <c r="AE539" s="164"/>
      <c r="AF539" s="160"/>
      <c r="AG539" s="160">
        <v>1.9326399999999999</v>
      </c>
      <c r="AH539" s="170">
        <f t="shared" si="17"/>
        <v>4.2181722941266342</v>
      </c>
    </row>
    <row r="540" spans="1:34" ht="12" customHeight="1" x14ac:dyDescent="0.2">
      <c r="A540" s="141"/>
      <c r="B540" s="515" t="s">
        <v>567</v>
      </c>
      <c r="C540" s="515"/>
      <c r="D540" s="515"/>
      <c r="E540" s="515"/>
      <c r="F540" s="515"/>
      <c r="G540" s="515"/>
      <c r="H540" s="515"/>
      <c r="I540" s="515"/>
      <c r="J540" s="515"/>
      <c r="K540" s="515"/>
      <c r="L540" s="515"/>
      <c r="M540" s="515"/>
      <c r="N540" s="143">
        <v>991</v>
      </c>
      <c r="O540" s="144">
        <v>9</v>
      </c>
      <c r="P540" s="144">
        <v>0</v>
      </c>
      <c r="Q540" s="145">
        <v>0</v>
      </c>
      <c r="R540" s="146">
        <v>0</v>
      </c>
      <c r="S540" s="500"/>
      <c r="T540" s="500"/>
      <c r="U540" s="164">
        <v>226</v>
      </c>
      <c r="V540" s="164">
        <v>0</v>
      </c>
      <c r="W540" s="164">
        <v>226</v>
      </c>
      <c r="X540" s="514"/>
      <c r="Y540" s="514"/>
      <c r="Z540" s="514"/>
      <c r="AA540" s="514"/>
      <c r="AB540" s="514"/>
      <c r="AC540" s="514"/>
      <c r="AD540" s="514"/>
      <c r="AE540" s="164"/>
      <c r="AF540" s="160"/>
      <c r="AG540" s="160">
        <f t="shared" ref="AG540:AG545" si="18">+AG541</f>
        <v>19.899999999999999</v>
      </c>
      <c r="AH540" s="170">
        <f t="shared" si="17"/>
        <v>8.8053097345132745</v>
      </c>
    </row>
    <row r="541" spans="1:34" ht="12" customHeight="1" x14ac:dyDescent="0.2">
      <c r="A541" s="141"/>
      <c r="B541" s="515" t="s">
        <v>568</v>
      </c>
      <c r="C541" s="515"/>
      <c r="D541" s="515"/>
      <c r="E541" s="515"/>
      <c r="F541" s="515"/>
      <c r="G541" s="515"/>
      <c r="H541" s="515"/>
      <c r="I541" s="515"/>
      <c r="J541" s="515"/>
      <c r="K541" s="515"/>
      <c r="L541" s="515"/>
      <c r="M541" s="515"/>
      <c r="N541" s="143">
        <v>991</v>
      </c>
      <c r="O541" s="144">
        <v>9</v>
      </c>
      <c r="P541" s="144">
        <v>9</v>
      </c>
      <c r="Q541" s="145">
        <v>0</v>
      </c>
      <c r="R541" s="146">
        <v>0</v>
      </c>
      <c r="S541" s="500"/>
      <c r="T541" s="500"/>
      <c r="U541" s="164">
        <v>226</v>
      </c>
      <c r="V541" s="164">
        <v>0</v>
      </c>
      <c r="W541" s="164">
        <v>226</v>
      </c>
      <c r="X541" s="514"/>
      <c r="Y541" s="514"/>
      <c r="Z541" s="514"/>
      <c r="AA541" s="514"/>
      <c r="AB541" s="514"/>
      <c r="AC541" s="514"/>
      <c r="AD541" s="514"/>
      <c r="AE541" s="164"/>
      <c r="AF541" s="160"/>
      <c r="AG541" s="160">
        <f t="shared" si="18"/>
        <v>19.899999999999999</v>
      </c>
      <c r="AH541" s="170">
        <f t="shared" si="17"/>
        <v>8.8053097345132745</v>
      </c>
    </row>
    <row r="542" spans="1:34" ht="32.25" customHeight="1" x14ac:dyDescent="0.2">
      <c r="A542" s="141"/>
      <c r="B542" s="515" t="s">
        <v>390</v>
      </c>
      <c r="C542" s="515"/>
      <c r="D542" s="515"/>
      <c r="E542" s="515"/>
      <c r="F542" s="515"/>
      <c r="G542" s="515"/>
      <c r="H542" s="515"/>
      <c r="I542" s="515"/>
      <c r="J542" s="515"/>
      <c r="K542" s="515"/>
      <c r="L542" s="515"/>
      <c r="M542" s="515"/>
      <c r="N542" s="143">
        <v>991</v>
      </c>
      <c r="O542" s="144">
        <v>9</v>
      </c>
      <c r="P542" s="144">
        <v>9</v>
      </c>
      <c r="Q542" s="145" t="s">
        <v>391</v>
      </c>
      <c r="R542" s="146">
        <v>0</v>
      </c>
      <c r="S542" s="500"/>
      <c r="T542" s="500"/>
      <c r="U542" s="164">
        <v>226</v>
      </c>
      <c r="V542" s="164">
        <v>0</v>
      </c>
      <c r="W542" s="164">
        <v>226</v>
      </c>
      <c r="X542" s="514"/>
      <c r="Y542" s="514"/>
      <c r="Z542" s="514"/>
      <c r="AA542" s="514"/>
      <c r="AB542" s="514"/>
      <c r="AC542" s="514"/>
      <c r="AD542" s="514"/>
      <c r="AE542" s="164"/>
      <c r="AF542" s="160"/>
      <c r="AG542" s="160">
        <f t="shared" si="18"/>
        <v>19.899999999999999</v>
      </c>
      <c r="AH542" s="170">
        <f t="shared" si="17"/>
        <v>8.8053097345132745</v>
      </c>
    </row>
    <row r="543" spans="1:34" ht="42.75" customHeight="1" x14ac:dyDescent="0.2">
      <c r="A543" s="141"/>
      <c r="B543" s="515" t="s">
        <v>88</v>
      </c>
      <c r="C543" s="515"/>
      <c r="D543" s="515"/>
      <c r="E543" s="515"/>
      <c r="F543" s="515"/>
      <c r="G543" s="515"/>
      <c r="H543" s="515"/>
      <c r="I543" s="515"/>
      <c r="J543" s="515"/>
      <c r="K543" s="515"/>
      <c r="L543" s="515"/>
      <c r="M543" s="515"/>
      <c r="N543" s="143">
        <v>991</v>
      </c>
      <c r="O543" s="144">
        <v>9</v>
      </c>
      <c r="P543" s="144">
        <v>9</v>
      </c>
      <c r="Q543" s="145" t="s">
        <v>392</v>
      </c>
      <c r="R543" s="146">
        <v>0</v>
      </c>
      <c r="S543" s="500"/>
      <c r="T543" s="500"/>
      <c r="U543" s="164">
        <v>226</v>
      </c>
      <c r="V543" s="164">
        <v>0</v>
      </c>
      <c r="W543" s="164">
        <v>226</v>
      </c>
      <c r="X543" s="514"/>
      <c r="Y543" s="514"/>
      <c r="Z543" s="514"/>
      <c r="AA543" s="514"/>
      <c r="AB543" s="514"/>
      <c r="AC543" s="514"/>
      <c r="AD543" s="514"/>
      <c r="AE543" s="164"/>
      <c r="AF543" s="160"/>
      <c r="AG543" s="160">
        <f t="shared" si="18"/>
        <v>19.899999999999999</v>
      </c>
      <c r="AH543" s="170">
        <f t="shared" si="17"/>
        <v>8.8053097345132745</v>
      </c>
    </row>
    <row r="544" spans="1:34" ht="21.75" customHeight="1" x14ac:dyDescent="0.2">
      <c r="A544" s="141"/>
      <c r="B544" s="515" t="s">
        <v>345</v>
      </c>
      <c r="C544" s="515"/>
      <c r="D544" s="515"/>
      <c r="E544" s="515"/>
      <c r="F544" s="515"/>
      <c r="G544" s="515"/>
      <c r="H544" s="515"/>
      <c r="I544" s="515"/>
      <c r="J544" s="515"/>
      <c r="K544" s="515"/>
      <c r="L544" s="515"/>
      <c r="M544" s="515"/>
      <c r="N544" s="143">
        <v>991</v>
      </c>
      <c r="O544" s="144">
        <v>9</v>
      </c>
      <c r="P544" s="144">
        <v>9</v>
      </c>
      <c r="Q544" s="145" t="s">
        <v>392</v>
      </c>
      <c r="R544" s="146" t="s">
        <v>24</v>
      </c>
      <c r="S544" s="500"/>
      <c r="T544" s="500"/>
      <c r="U544" s="164">
        <v>226</v>
      </c>
      <c r="V544" s="164">
        <v>0</v>
      </c>
      <c r="W544" s="164">
        <v>226</v>
      </c>
      <c r="X544" s="514"/>
      <c r="Y544" s="514"/>
      <c r="Z544" s="514"/>
      <c r="AA544" s="514"/>
      <c r="AB544" s="514"/>
      <c r="AC544" s="514"/>
      <c r="AD544" s="514"/>
      <c r="AE544" s="164"/>
      <c r="AF544" s="160"/>
      <c r="AG544" s="160">
        <f t="shared" si="18"/>
        <v>19.899999999999999</v>
      </c>
      <c r="AH544" s="170">
        <f t="shared" si="17"/>
        <v>8.8053097345132745</v>
      </c>
    </row>
    <row r="545" spans="1:34" ht="21.75" customHeight="1" x14ac:dyDescent="0.2">
      <c r="A545" s="141"/>
      <c r="B545" s="515" t="s">
        <v>346</v>
      </c>
      <c r="C545" s="515"/>
      <c r="D545" s="515"/>
      <c r="E545" s="515"/>
      <c r="F545" s="515"/>
      <c r="G545" s="515"/>
      <c r="H545" s="515"/>
      <c r="I545" s="515"/>
      <c r="J545" s="515"/>
      <c r="K545" s="515"/>
      <c r="L545" s="515"/>
      <c r="M545" s="515"/>
      <c r="N545" s="143">
        <v>991</v>
      </c>
      <c r="O545" s="144">
        <v>9</v>
      </c>
      <c r="P545" s="144">
        <v>9</v>
      </c>
      <c r="Q545" s="145" t="s">
        <v>392</v>
      </c>
      <c r="R545" s="146" t="s">
        <v>26</v>
      </c>
      <c r="S545" s="500"/>
      <c r="T545" s="500"/>
      <c r="U545" s="164">
        <v>226</v>
      </c>
      <c r="V545" s="164">
        <v>0</v>
      </c>
      <c r="W545" s="164">
        <v>226</v>
      </c>
      <c r="X545" s="514"/>
      <c r="Y545" s="514"/>
      <c r="Z545" s="514"/>
      <c r="AA545" s="514"/>
      <c r="AB545" s="514"/>
      <c r="AC545" s="514"/>
      <c r="AD545" s="514"/>
      <c r="AE545" s="164"/>
      <c r="AF545" s="160"/>
      <c r="AG545" s="160">
        <f t="shared" si="18"/>
        <v>19.899999999999999</v>
      </c>
      <c r="AH545" s="170">
        <f t="shared" si="17"/>
        <v>8.8053097345132745</v>
      </c>
    </row>
    <row r="546" spans="1:34" ht="12" customHeight="1" x14ac:dyDescent="0.2">
      <c r="A546" s="141"/>
      <c r="B546" s="515" t="s">
        <v>348</v>
      </c>
      <c r="C546" s="515"/>
      <c r="D546" s="515"/>
      <c r="E546" s="515"/>
      <c r="F546" s="515"/>
      <c r="G546" s="515"/>
      <c r="H546" s="515"/>
      <c r="I546" s="515"/>
      <c r="J546" s="515"/>
      <c r="K546" s="515"/>
      <c r="L546" s="515"/>
      <c r="M546" s="515"/>
      <c r="N546" s="143">
        <v>991</v>
      </c>
      <c r="O546" s="144">
        <v>9</v>
      </c>
      <c r="P546" s="144">
        <v>9</v>
      </c>
      <c r="Q546" s="145" t="s">
        <v>392</v>
      </c>
      <c r="R546" s="146" t="s">
        <v>28</v>
      </c>
      <c r="S546" s="500"/>
      <c r="T546" s="500"/>
      <c r="U546" s="164">
        <v>226</v>
      </c>
      <c r="V546" s="164">
        <v>0</v>
      </c>
      <c r="W546" s="164">
        <v>226</v>
      </c>
      <c r="X546" s="514"/>
      <c r="Y546" s="514"/>
      <c r="Z546" s="514"/>
      <c r="AA546" s="514"/>
      <c r="AB546" s="514"/>
      <c r="AC546" s="514"/>
      <c r="AD546" s="514"/>
      <c r="AE546" s="164"/>
      <c r="AF546" s="160"/>
      <c r="AG546" s="160">
        <v>19.899999999999999</v>
      </c>
      <c r="AH546" s="170">
        <f t="shared" si="17"/>
        <v>8.8053097345132745</v>
      </c>
    </row>
    <row r="547" spans="1:34" ht="12" customHeight="1" x14ac:dyDescent="0.2">
      <c r="A547" s="141"/>
      <c r="B547" s="515" t="s">
        <v>150</v>
      </c>
      <c r="C547" s="515"/>
      <c r="D547" s="515"/>
      <c r="E547" s="515"/>
      <c r="F547" s="515"/>
      <c r="G547" s="515"/>
      <c r="H547" s="515"/>
      <c r="I547" s="515"/>
      <c r="J547" s="515"/>
      <c r="K547" s="515"/>
      <c r="L547" s="515"/>
      <c r="M547" s="515"/>
      <c r="N547" s="143">
        <v>991</v>
      </c>
      <c r="O547" s="144">
        <v>10</v>
      </c>
      <c r="P547" s="144">
        <v>0</v>
      </c>
      <c r="Q547" s="145">
        <v>0</v>
      </c>
      <c r="R547" s="146">
        <v>0</v>
      </c>
      <c r="S547" s="500"/>
      <c r="T547" s="500"/>
      <c r="U547" s="164">
        <v>6107.62</v>
      </c>
      <c r="V547" s="164">
        <v>0</v>
      </c>
      <c r="W547" s="164">
        <v>6107.62</v>
      </c>
      <c r="X547" s="514"/>
      <c r="Y547" s="514"/>
      <c r="Z547" s="514"/>
      <c r="AA547" s="514"/>
      <c r="AB547" s="514"/>
      <c r="AC547" s="514"/>
      <c r="AD547" s="514"/>
      <c r="AE547" s="164"/>
      <c r="AF547" s="160"/>
      <c r="AG547" s="160">
        <f>+AG548</f>
        <v>20</v>
      </c>
      <c r="AH547" s="170">
        <f t="shared" si="17"/>
        <v>0.32745979612353093</v>
      </c>
    </row>
    <row r="548" spans="1:34" ht="12" customHeight="1" x14ac:dyDescent="0.2">
      <c r="A548" s="141"/>
      <c r="B548" s="515" t="s">
        <v>52</v>
      </c>
      <c r="C548" s="515"/>
      <c r="D548" s="515"/>
      <c r="E548" s="515"/>
      <c r="F548" s="515"/>
      <c r="G548" s="515"/>
      <c r="H548" s="515"/>
      <c r="I548" s="515"/>
      <c r="J548" s="515"/>
      <c r="K548" s="515"/>
      <c r="L548" s="515"/>
      <c r="M548" s="515"/>
      <c r="N548" s="143">
        <v>991</v>
      </c>
      <c r="O548" s="144">
        <v>10</v>
      </c>
      <c r="P548" s="144">
        <v>3</v>
      </c>
      <c r="Q548" s="145">
        <v>0</v>
      </c>
      <c r="R548" s="146">
        <v>0</v>
      </c>
      <c r="S548" s="500"/>
      <c r="T548" s="500"/>
      <c r="U548" s="164">
        <v>6107.62</v>
      </c>
      <c r="V548" s="164">
        <v>0</v>
      </c>
      <c r="W548" s="164">
        <v>6107.62</v>
      </c>
      <c r="X548" s="514"/>
      <c r="Y548" s="514"/>
      <c r="Z548" s="514"/>
      <c r="AA548" s="514"/>
      <c r="AB548" s="514"/>
      <c r="AC548" s="514"/>
      <c r="AD548" s="514"/>
      <c r="AE548" s="164"/>
      <c r="AF548" s="160"/>
      <c r="AG548" s="160">
        <f>+AG549+AG555+AG561+AG567</f>
        <v>20</v>
      </c>
      <c r="AH548" s="170">
        <f t="shared" si="17"/>
        <v>0.32745979612353093</v>
      </c>
    </row>
    <row r="549" spans="1:34" ht="21.75" customHeight="1" x14ac:dyDescent="0.2">
      <c r="A549" s="141"/>
      <c r="B549" s="515" t="s">
        <v>64</v>
      </c>
      <c r="C549" s="515"/>
      <c r="D549" s="515"/>
      <c r="E549" s="515"/>
      <c r="F549" s="515"/>
      <c r="G549" s="515"/>
      <c r="H549" s="515"/>
      <c r="I549" s="515"/>
      <c r="J549" s="515"/>
      <c r="K549" s="515"/>
      <c r="L549" s="515"/>
      <c r="M549" s="515"/>
      <c r="N549" s="143">
        <v>991</v>
      </c>
      <c r="O549" s="144">
        <v>10</v>
      </c>
      <c r="P549" s="144">
        <v>3</v>
      </c>
      <c r="Q549" s="145" t="s">
        <v>416</v>
      </c>
      <c r="R549" s="146">
        <v>0</v>
      </c>
      <c r="S549" s="500"/>
      <c r="T549" s="500"/>
      <c r="U549" s="164">
        <v>1064</v>
      </c>
      <c r="V549" s="164">
        <v>0</v>
      </c>
      <c r="W549" s="164">
        <v>1064</v>
      </c>
      <c r="X549" s="514"/>
      <c r="Y549" s="514"/>
      <c r="Z549" s="514"/>
      <c r="AA549" s="514"/>
      <c r="AB549" s="514"/>
      <c r="AC549" s="514"/>
      <c r="AD549" s="514"/>
      <c r="AE549" s="164"/>
      <c r="AF549" s="160"/>
      <c r="AG549" s="160">
        <f>+AG550</f>
        <v>0</v>
      </c>
      <c r="AH549" s="170">
        <f t="shared" si="17"/>
        <v>0</v>
      </c>
    </row>
    <row r="550" spans="1:34" ht="21.75" customHeight="1" x14ac:dyDescent="0.2">
      <c r="A550" s="141"/>
      <c r="B550" s="515" t="s">
        <v>65</v>
      </c>
      <c r="C550" s="515"/>
      <c r="D550" s="515"/>
      <c r="E550" s="515"/>
      <c r="F550" s="515"/>
      <c r="G550" s="515"/>
      <c r="H550" s="515"/>
      <c r="I550" s="515"/>
      <c r="J550" s="515"/>
      <c r="K550" s="515"/>
      <c r="L550" s="515"/>
      <c r="M550" s="515"/>
      <c r="N550" s="143">
        <v>991</v>
      </c>
      <c r="O550" s="144">
        <v>10</v>
      </c>
      <c r="P550" s="144">
        <v>3</v>
      </c>
      <c r="Q550" s="145" t="s">
        <v>489</v>
      </c>
      <c r="R550" s="146">
        <v>0</v>
      </c>
      <c r="S550" s="500"/>
      <c r="T550" s="500"/>
      <c r="U550" s="164">
        <v>1064</v>
      </c>
      <c r="V550" s="164">
        <v>0</v>
      </c>
      <c r="W550" s="164">
        <v>1064</v>
      </c>
      <c r="X550" s="514"/>
      <c r="Y550" s="514"/>
      <c r="Z550" s="514"/>
      <c r="AA550" s="514"/>
      <c r="AB550" s="514"/>
      <c r="AC550" s="514"/>
      <c r="AD550" s="514"/>
      <c r="AE550" s="164"/>
      <c r="AF550" s="160"/>
      <c r="AG550" s="160">
        <f>+AG551</f>
        <v>0</v>
      </c>
      <c r="AH550" s="170">
        <f t="shared" si="17"/>
        <v>0</v>
      </c>
    </row>
    <row r="551" spans="1:34" ht="42.75" customHeight="1" x14ac:dyDescent="0.2">
      <c r="A551" s="141"/>
      <c r="B551" s="515" t="s">
        <v>490</v>
      </c>
      <c r="C551" s="515"/>
      <c r="D551" s="515"/>
      <c r="E551" s="515"/>
      <c r="F551" s="515"/>
      <c r="G551" s="515"/>
      <c r="H551" s="515"/>
      <c r="I551" s="515"/>
      <c r="J551" s="515"/>
      <c r="K551" s="515"/>
      <c r="L551" s="515"/>
      <c r="M551" s="515"/>
      <c r="N551" s="143">
        <v>991</v>
      </c>
      <c r="O551" s="144">
        <v>10</v>
      </c>
      <c r="P551" s="144">
        <v>3</v>
      </c>
      <c r="Q551" s="145" t="s">
        <v>491</v>
      </c>
      <c r="R551" s="146">
        <v>0</v>
      </c>
      <c r="S551" s="500"/>
      <c r="T551" s="500"/>
      <c r="U551" s="164">
        <v>1064</v>
      </c>
      <c r="V551" s="164">
        <v>0</v>
      </c>
      <c r="W551" s="164">
        <v>1064</v>
      </c>
      <c r="X551" s="514"/>
      <c r="Y551" s="514"/>
      <c r="Z551" s="514"/>
      <c r="AA551" s="514"/>
      <c r="AB551" s="514"/>
      <c r="AC551" s="514"/>
      <c r="AD551" s="514"/>
      <c r="AE551" s="164"/>
      <c r="AF551" s="160"/>
      <c r="AG551" s="160">
        <f>+AG552</f>
        <v>0</v>
      </c>
      <c r="AH551" s="170">
        <f t="shared" si="17"/>
        <v>0</v>
      </c>
    </row>
    <row r="552" spans="1:34" ht="12" customHeight="1" x14ac:dyDescent="0.2">
      <c r="A552" s="141"/>
      <c r="B552" s="515" t="s">
        <v>46</v>
      </c>
      <c r="C552" s="515"/>
      <c r="D552" s="515"/>
      <c r="E552" s="515"/>
      <c r="F552" s="515"/>
      <c r="G552" s="515"/>
      <c r="H552" s="515"/>
      <c r="I552" s="515"/>
      <c r="J552" s="515"/>
      <c r="K552" s="515"/>
      <c r="L552" s="515"/>
      <c r="M552" s="515"/>
      <c r="N552" s="143">
        <v>991</v>
      </c>
      <c r="O552" s="144">
        <v>10</v>
      </c>
      <c r="P552" s="144">
        <v>3</v>
      </c>
      <c r="Q552" s="145" t="s">
        <v>491</v>
      </c>
      <c r="R552" s="146" t="s">
        <v>43</v>
      </c>
      <c r="S552" s="500"/>
      <c r="T552" s="500"/>
      <c r="U552" s="164">
        <v>1064</v>
      </c>
      <c r="V552" s="164">
        <v>0</v>
      </c>
      <c r="W552" s="164">
        <v>1064</v>
      </c>
      <c r="X552" s="514"/>
      <c r="Y552" s="514"/>
      <c r="Z552" s="514"/>
      <c r="AA552" s="514"/>
      <c r="AB552" s="514"/>
      <c r="AC552" s="514"/>
      <c r="AD552" s="514"/>
      <c r="AE552" s="164"/>
      <c r="AF552" s="160"/>
      <c r="AG552" s="160">
        <f>+AG553</f>
        <v>0</v>
      </c>
      <c r="AH552" s="170">
        <f t="shared" si="17"/>
        <v>0</v>
      </c>
    </row>
    <row r="553" spans="1:34" ht="21.75" customHeight="1" x14ac:dyDescent="0.2">
      <c r="A553" s="141"/>
      <c r="B553" s="515" t="s">
        <v>492</v>
      </c>
      <c r="C553" s="515"/>
      <c r="D553" s="515"/>
      <c r="E553" s="515"/>
      <c r="F553" s="515"/>
      <c r="G553" s="515"/>
      <c r="H553" s="515"/>
      <c r="I553" s="515"/>
      <c r="J553" s="515"/>
      <c r="K553" s="515"/>
      <c r="L553" s="515"/>
      <c r="M553" s="515"/>
      <c r="N553" s="143">
        <v>991</v>
      </c>
      <c r="O553" s="144">
        <v>10</v>
      </c>
      <c r="P553" s="144">
        <v>3</v>
      </c>
      <c r="Q553" s="145" t="s">
        <v>491</v>
      </c>
      <c r="R553" s="146" t="s">
        <v>493</v>
      </c>
      <c r="S553" s="500"/>
      <c r="T553" s="500"/>
      <c r="U553" s="164">
        <v>1064</v>
      </c>
      <c r="V553" s="164">
        <v>0</v>
      </c>
      <c r="W553" s="164">
        <v>1064</v>
      </c>
      <c r="X553" s="514"/>
      <c r="Y553" s="514"/>
      <c r="Z553" s="514"/>
      <c r="AA553" s="514"/>
      <c r="AB553" s="514"/>
      <c r="AC553" s="514"/>
      <c r="AD553" s="514"/>
      <c r="AE553" s="164"/>
      <c r="AF553" s="160"/>
      <c r="AG553" s="160">
        <f>+AG554</f>
        <v>0</v>
      </c>
      <c r="AH553" s="170">
        <f t="shared" si="17"/>
        <v>0</v>
      </c>
    </row>
    <row r="554" spans="1:34" ht="12" customHeight="1" x14ac:dyDescent="0.2">
      <c r="A554" s="141"/>
      <c r="B554" s="515" t="s">
        <v>87</v>
      </c>
      <c r="C554" s="515"/>
      <c r="D554" s="515"/>
      <c r="E554" s="515"/>
      <c r="F554" s="515"/>
      <c r="G554" s="515"/>
      <c r="H554" s="515"/>
      <c r="I554" s="515"/>
      <c r="J554" s="515"/>
      <c r="K554" s="515"/>
      <c r="L554" s="515"/>
      <c r="M554" s="515"/>
      <c r="N554" s="143">
        <v>991</v>
      </c>
      <c r="O554" s="144">
        <v>10</v>
      </c>
      <c r="P554" s="144">
        <v>3</v>
      </c>
      <c r="Q554" s="145" t="s">
        <v>491</v>
      </c>
      <c r="R554" s="146" t="s">
        <v>494</v>
      </c>
      <c r="S554" s="500"/>
      <c r="T554" s="500"/>
      <c r="U554" s="164">
        <v>1064</v>
      </c>
      <c r="V554" s="164">
        <v>0</v>
      </c>
      <c r="W554" s="164">
        <v>1064</v>
      </c>
      <c r="X554" s="514"/>
      <c r="Y554" s="514"/>
      <c r="Z554" s="514"/>
      <c r="AA554" s="514"/>
      <c r="AB554" s="514"/>
      <c r="AC554" s="514"/>
      <c r="AD554" s="514"/>
      <c r="AE554" s="164"/>
      <c r="AF554" s="160"/>
      <c r="AG554" s="160"/>
      <c r="AH554" s="170">
        <f t="shared" si="17"/>
        <v>0</v>
      </c>
    </row>
    <row r="555" spans="1:34" ht="21.75" customHeight="1" x14ac:dyDescent="0.2">
      <c r="A555" s="141"/>
      <c r="B555" s="515" t="s">
        <v>64</v>
      </c>
      <c r="C555" s="515"/>
      <c r="D555" s="515"/>
      <c r="E555" s="515"/>
      <c r="F555" s="515"/>
      <c r="G555" s="515"/>
      <c r="H555" s="515"/>
      <c r="I555" s="515"/>
      <c r="J555" s="515"/>
      <c r="K555" s="515"/>
      <c r="L555" s="515"/>
      <c r="M555" s="515"/>
      <c r="N555" s="143">
        <v>991</v>
      </c>
      <c r="O555" s="144">
        <v>10</v>
      </c>
      <c r="P555" s="144">
        <v>3</v>
      </c>
      <c r="Q555" s="145" t="s">
        <v>416</v>
      </c>
      <c r="R555" s="146">
        <v>0</v>
      </c>
      <c r="S555" s="500"/>
      <c r="T555" s="500"/>
      <c r="U555" s="164">
        <v>3797.02</v>
      </c>
      <c r="V555" s="164">
        <v>0</v>
      </c>
      <c r="W555" s="164">
        <v>3797.02</v>
      </c>
      <c r="X555" s="514"/>
      <c r="Y555" s="514"/>
      <c r="Z555" s="514"/>
      <c r="AA555" s="514"/>
      <c r="AB555" s="514"/>
      <c r="AC555" s="514"/>
      <c r="AD555" s="514"/>
      <c r="AE555" s="164"/>
      <c r="AF555" s="160"/>
      <c r="AG555" s="160">
        <f>+AG556</f>
        <v>0</v>
      </c>
      <c r="AH555" s="170">
        <f t="shared" si="17"/>
        <v>0</v>
      </c>
    </row>
    <row r="556" spans="1:34" ht="12" customHeight="1" x14ac:dyDescent="0.2">
      <c r="A556" s="141"/>
      <c r="B556" s="515" t="s">
        <v>571</v>
      </c>
      <c r="C556" s="515"/>
      <c r="D556" s="515"/>
      <c r="E556" s="515"/>
      <c r="F556" s="515"/>
      <c r="G556" s="515"/>
      <c r="H556" s="515"/>
      <c r="I556" s="515"/>
      <c r="J556" s="515"/>
      <c r="K556" s="515"/>
      <c r="L556" s="515"/>
      <c r="M556" s="515"/>
      <c r="N556" s="143">
        <v>991</v>
      </c>
      <c r="O556" s="144">
        <v>10</v>
      </c>
      <c r="P556" s="144">
        <v>3</v>
      </c>
      <c r="Q556" s="145" t="s">
        <v>572</v>
      </c>
      <c r="R556" s="146">
        <v>0</v>
      </c>
      <c r="S556" s="500"/>
      <c r="T556" s="500"/>
      <c r="U556" s="164">
        <v>3797.02</v>
      </c>
      <c r="V556" s="164">
        <v>0</v>
      </c>
      <c r="W556" s="164">
        <v>3797.02</v>
      </c>
      <c r="X556" s="514"/>
      <c r="Y556" s="514"/>
      <c r="Z556" s="514"/>
      <c r="AA556" s="514"/>
      <c r="AB556" s="514"/>
      <c r="AC556" s="514"/>
      <c r="AD556" s="514"/>
      <c r="AE556" s="164"/>
      <c r="AF556" s="160"/>
      <c r="AG556" s="160">
        <f>+AG557</f>
        <v>0</v>
      </c>
      <c r="AH556" s="170">
        <f t="shared" si="17"/>
        <v>0</v>
      </c>
    </row>
    <row r="557" spans="1:34" ht="12" customHeight="1" x14ac:dyDescent="0.2">
      <c r="A557" s="141"/>
      <c r="B557" s="515" t="s">
        <v>571</v>
      </c>
      <c r="C557" s="515"/>
      <c r="D557" s="515"/>
      <c r="E557" s="515"/>
      <c r="F557" s="515"/>
      <c r="G557" s="515"/>
      <c r="H557" s="515"/>
      <c r="I557" s="515"/>
      <c r="J557" s="515"/>
      <c r="K557" s="515"/>
      <c r="L557" s="515"/>
      <c r="M557" s="515"/>
      <c r="N557" s="143">
        <v>991</v>
      </c>
      <c r="O557" s="144">
        <v>10</v>
      </c>
      <c r="P557" s="144">
        <v>3</v>
      </c>
      <c r="Q557" s="145" t="s">
        <v>573</v>
      </c>
      <c r="R557" s="146">
        <v>0</v>
      </c>
      <c r="S557" s="500"/>
      <c r="T557" s="500"/>
      <c r="U557" s="164">
        <v>3797.02</v>
      </c>
      <c r="V557" s="164">
        <v>0</v>
      </c>
      <c r="W557" s="164">
        <v>3797.02</v>
      </c>
      <c r="X557" s="514"/>
      <c r="Y557" s="514"/>
      <c r="Z557" s="514"/>
      <c r="AA557" s="514"/>
      <c r="AB557" s="514"/>
      <c r="AC557" s="514"/>
      <c r="AD557" s="514"/>
      <c r="AE557" s="164"/>
      <c r="AF557" s="160"/>
      <c r="AG557" s="160">
        <f>+AG558</f>
        <v>0</v>
      </c>
      <c r="AH557" s="170">
        <f t="shared" si="17"/>
        <v>0</v>
      </c>
    </row>
    <row r="558" spans="1:34" ht="12" customHeight="1" x14ac:dyDescent="0.2">
      <c r="A558" s="141"/>
      <c r="B558" s="515" t="s">
        <v>46</v>
      </c>
      <c r="C558" s="515"/>
      <c r="D558" s="515"/>
      <c r="E558" s="515"/>
      <c r="F558" s="515"/>
      <c r="G558" s="515"/>
      <c r="H558" s="515"/>
      <c r="I558" s="515"/>
      <c r="J558" s="515"/>
      <c r="K558" s="515"/>
      <c r="L558" s="515"/>
      <c r="M558" s="515"/>
      <c r="N558" s="143">
        <v>991</v>
      </c>
      <c r="O558" s="144">
        <v>10</v>
      </c>
      <c r="P558" s="144">
        <v>3</v>
      </c>
      <c r="Q558" s="145" t="s">
        <v>573</v>
      </c>
      <c r="R558" s="146" t="s">
        <v>43</v>
      </c>
      <c r="S558" s="500"/>
      <c r="T558" s="500"/>
      <c r="U558" s="164">
        <v>3797.02</v>
      </c>
      <c r="V558" s="164">
        <v>0</v>
      </c>
      <c r="W558" s="164">
        <v>3797.02</v>
      </c>
      <c r="X558" s="514"/>
      <c r="Y558" s="514"/>
      <c r="Z558" s="514"/>
      <c r="AA558" s="514"/>
      <c r="AB558" s="514"/>
      <c r="AC558" s="514"/>
      <c r="AD558" s="514"/>
      <c r="AE558" s="164"/>
      <c r="AF558" s="160"/>
      <c r="AG558" s="160">
        <f>+AG559</f>
        <v>0</v>
      </c>
      <c r="AH558" s="170">
        <f t="shared" si="17"/>
        <v>0</v>
      </c>
    </row>
    <row r="559" spans="1:34" ht="21.75" customHeight="1" x14ac:dyDescent="0.2">
      <c r="A559" s="141"/>
      <c r="B559" s="515" t="s">
        <v>492</v>
      </c>
      <c r="C559" s="515"/>
      <c r="D559" s="515"/>
      <c r="E559" s="515"/>
      <c r="F559" s="515"/>
      <c r="G559" s="515"/>
      <c r="H559" s="515"/>
      <c r="I559" s="515"/>
      <c r="J559" s="515"/>
      <c r="K559" s="515"/>
      <c r="L559" s="515"/>
      <c r="M559" s="515"/>
      <c r="N559" s="143">
        <v>991</v>
      </c>
      <c r="O559" s="144">
        <v>10</v>
      </c>
      <c r="P559" s="144">
        <v>3</v>
      </c>
      <c r="Q559" s="145" t="s">
        <v>573</v>
      </c>
      <c r="R559" s="146" t="s">
        <v>493</v>
      </c>
      <c r="S559" s="500"/>
      <c r="T559" s="500"/>
      <c r="U559" s="164">
        <v>3797.02</v>
      </c>
      <c r="V559" s="164">
        <v>0</v>
      </c>
      <c r="W559" s="164">
        <v>3797.02</v>
      </c>
      <c r="X559" s="514"/>
      <c r="Y559" s="514"/>
      <c r="Z559" s="514"/>
      <c r="AA559" s="514"/>
      <c r="AB559" s="514"/>
      <c r="AC559" s="514"/>
      <c r="AD559" s="514"/>
      <c r="AE559" s="164"/>
      <c r="AF559" s="160"/>
      <c r="AG559" s="160">
        <f>+AG560</f>
        <v>0</v>
      </c>
      <c r="AH559" s="170">
        <f t="shared" si="17"/>
        <v>0</v>
      </c>
    </row>
    <row r="560" spans="1:34" ht="12" customHeight="1" x14ac:dyDescent="0.2">
      <c r="A560" s="141"/>
      <c r="B560" s="515" t="s">
        <v>87</v>
      </c>
      <c r="C560" s="515"/>
      <c r="D560" s="515"/>
      <c r="E560" s="515"/>
      <c r="F560" s="515"/>
      <c r="G560" s="515"/>
      <c r="H560" s="515"/>
      <c r="I560" s="515"/>
      <c r="J560" s="515"/>
      <c r="K560" s="515"/>
      <c r="L560" s="515"/>
      <c r="M560" s="515"/>
      <c r="N560" s="143">
        <v>991</v>
      </c>
      <c r="O560" s="144">
        <v>10</v>
      </c>
      <c r="P560" s="144">
        <v>3</v>
      </c>
      <c r="Q560" s="145" t="s">
        <v>573</v>
      </c>
      <c r="R560" s="146" t="s">
        <v>494</v>
      </c>
      <c r="S560" s="500"/>
      <c r="T560" s="500"/>
      <c r="U560" s="164">
        <v>3797.02</v>
      </c>
      <c r="V560" s="164">
        <v>0</v>
      </c>
      <c r="W560" s="164">
        <v>3797.02</v>
      </c>
      <c r="X560" s="514"/>
      <c r="Y560" s="514"/>
      <c r="Z560" s="514"/>
      <c r="AA560" s="514"/>
      <c r="AB560" s="514"/>
      <c r="AC560" s="514"/>
      <c r="AD560" s="514"/>
      <c r="AE560" s="164"/>
      <c r="AF560" s="160"/>
      <c r="AG560" s="160"/>
      <c r="AH560" s="170">
        <f t="shared" si="17"/>
        <v>0</v>
      </c>
    </row>
    <row r="561" spans="1:34" ht="32.25" customHeight="1" x14ac:dyDescent="0.2">
      <c r="A561" s="141"/>
      <c r="B561" s="515" t="s">
        <v>495</v>
      </c>
      <c r="C561" s="515"/>
      <c r="D561" s="515"/>
      <c r="E561" s="515"/>
      <c r="F561" s="515"/>
      <c r="G561" s="515"/>
      <c r="H561" s="515"/>
      <c r="I561" s="515"/>
      <c r="J561" s="515"/>
      <c r="K561" s="515"/>
      <c r="L561" s="515"/>
      <c r="M561" s="515"/>
      <c r="N561" s="143">
        <v>991</v>
      </c>
      <c r="O561" s="144">
        <v>10</v>
      </c>
      <c r="P561" s="144">
        <v>3</v>
      </c>
      <c r="Q561" s="145" t="s">
        <v>496</v>
      </c>
      <c r="R561" s="146">
        <v>0</v>
      </c>
      <c r="S561" s="500"/>
      <c r="T561" s="500"/>
      <c r="U561" s="164">
        <v>1246.5999999999999</v>
      </c>
      <c r="V561" s="164">
        <v>0</v>
      </c>
      <c r="W561" s="164">
        <v>1246.5999999999999</v>
      </c>
      <c r="X561" s="514"/>
      <c r="Y561" s="514"/>
      <c r="Z561" s="514"/>
      <c r="AA561" s="514"/>
      <c r="AB561" s="514"/>
      <c r="AC561" s="514"/>
      <c r="AD561" s="514"/>
      <c r="AE561" s="164"/>
      <c r="AF561" s="160"/>
      <c r="AG561" s="160">
        <f>+AG562</f>
        <v>0</v>
      </c>
      <c r="AH561" s="170">
        <f t="shared" si="17"/>
        <v>0</v>
      </c>
    </row>
    <row r="562" spans="1:34" ht="12" customHeight="1" x14ac:dyDescent="0.2">
      <c r="A562" s="141"/>
      <c r="B562" s="515" t="s">
        <v>497</v>
      </c>
      <c r="C562" s="515"/>
      <c r="D562" s="515"/>
      <c r="E562" s="515"/>
      <c r="F562" s="515"/>
      <c r="G562" s="515"/>
      <c r="H562" s="515"/>
      <c r="I562" s="515"/>
      <c r="J562" s="515"/>
      <c r="K562" s="515"/>
      <c r="L562" s="515"/>
      <c r="M562" s="515"/>
      <c r="N562" s="143">
        <v>991</v>
      </c>
      <c r="O562" s="144">
        <v>10</v>
      </c>
      <c r="P562" s="144">
        <v>3</v>
      </c>
      <c r="Q562" s="145" t="s">
        <v>498</v>
      </c>
      <c r="R562" s="146">
        <v>0</v>
      </c>
      <c r="S562" s="500"/>
      <c r="T562" s="500"/>
      <c r="U562" s="164">
        <v>1246.5999999999999</v>
      </c>
      <c r="V562" s="164">
        <v>0</v>
      </c>
      <c r="W562" s="164">
        <v>1246.5999999999999</v>
      </c>
      <c r="X562" s="514"/>
      <c r="Y562" s="514"/>
      <c r="Z562" s="514"/>
      <c r="AA562" s="514"/>
      <c r="AB562" s="514"/>
      <c r="AC562" s="514"/>
      <c r="AD562" s="514"/>
      <c r="AE562" s="164"/>
      <c r="AF562" s="160"/>
      <c r="AG562" s="160">
        <f>+AG563</f>
        <v>0</v>
      </c>
      <c r="AH562" s="170">
        <f t="shared" si="17"/>
        <v>0</v>
      </c>
    </row>
    <row r="563" spans="1:34" ht="12" customHeight="1" x14ac:dyDescent="0.2">
      <c r="A563" s="141"/>
      <c r="B563" s="515" t="s">
        <v>574</v>
      </c>
      <c r="C563" s="515"/>
      <c r="D563" s="515"/>
      <c r="E563" s="515"/>
      <c r="F563" s="515"/>
      <c r="G563" s="515"/>
      <c r="H563" s="515"/>
      <c r="I563" s="515"/>
      <c r="J563" s="515"/>
      <c r="K563" s="515"/>
      <c r="L563" s="515"/>
      <c r="M563" s="515"/>
      <c r="N563" s="143">
        <v>991</v>
      </c>
      <c r="O563" s="144">
        <v>10</v>
      </c>
      <c r="P563" s="144">
        <v>3</v>
      </c>
      <c r="Q563" s="145" t="s">
        <v>575</v>
      </c>
      <c r="R563" s="146">
        <v>0</v>
      </c>
      <c r="S563" s="500"/>
      <c r="T563" s="500"/>
      <c r="U563" s="164">
        <v>1246.5999999999999</v>
      </c>
      <c r="V563" s="164">
        <v>0</v>
      </c>
      <c r="W563" s="164">
        <v>1246.5999999999999</v>
      </c>
      <c r="X563" s="514"/>
      <c r="Y563" s="514"/>
      <c r="Z563" s="514"/>
      <c r="AA563" s="514"/>
      <c r="AB563" s="514"/>
      <c r="AC563" s="514"/>
      <c r="AD563" s="514"/>
      <c r="AE563" s="164"/>
      <c r="AF563" s="160"/>
      <c r="AG563" s="160">
        <f>+AG564</f>
        <v>0</v>
      </c>
      <c r="AH563" s="170">
        <f t="shared" si="17"/>
        <v>0</v>
      </c>
    </row>
    <row r="564" spans="1:34" ht="12" customHeight="1" x14ac:dyDescent="0.2">
      <c r="A564" s="141"/>
      <c r="B564" s="515" t="s">
        <v>46</v>
      </c>
      <c r="C564" s="515"/>
      <c r="D564" s="515"/>
      <c r="E564" s="515"/>
      <c r="F564" s="515"/>
      <c r="G564" s="515"/>
      <c r="H564" s="515"/>
      <c r="I564" s="515"/>
      <c r="J564" s="515"/>
      <c r="K564" s="515"/>
      <c r="L564" s="515"/>
      <c r="M564" s="515"/>
      <c r="N564" s="143">
        <v>991</v>
      </c>
      <c r="O564" s="144">
        <v>10</v>
      </c>
      <c r="P564" s="144">
        <v>3</v>
      </c>
      <c r="Q564" s="145" t="s">
        <v>575</v>
      </c>
      <c r="R564" s="146" t="s">
        <v>43</v>
      </c>
      <c r="S564" s="500"/>
      <c r="T564" s="500"/>
      <c r="U564" s="164">
        <v>1246.5999999999999</v>
      </c>
      <c r="V564" s="164">
        <v>0</v>
      </c>
      <c r="W564" s="164">
        <v>1246.5999999999999</v>
      </c>
      <c r="X564" s="514"/>
      <c r="Y564" s="514"/>
      <c r="Z564" s="514"/>
      <c r="AA564" s="514"/>
      <c r="AB564" s="514"/>
      <c r="AC564" s="514"/>
      <c r="AD564" s="514"/>
      <c r="AE564" s="164"/>
      <c r="AF564" s="160"/>
      <c r="AG564" s="160">
        <f>+AG565</f>
        <v>0</v>
      </c>
      <c r="AH564" s="170">
        <f t="shared" si="17"/>
        <v>0</v>
      </c>
    </row>
    <row r="565" spans="1:34" ht="21.75" customHeight="1" x14ac:dyDescent="0.2">
      <c r="A565" s="141"/>
      <c r="B565" s="515" t="s">
        <v>492</v>
      </c>
      <c r="C565" s="515"/>
      <c r="D565" s="515"/>
      <c r="E565" s="515"/>
      <c r="F565" s="515"/>
      <c r="G565" s="515"/>
      <c r="H565" s="515"/>
      <c r="I565" s="515"/>
      <c r="J565" s="515"/>
      <c r="K565" s="515"/>
      <c r="L565" s="515"/>
      <c r="M565" s="515"/>
      <c r="N565" s="143">
        <v>991</v>
      </c>
      <c r="O565" s="144">
        <v>10</v>
      </c>
      <c r="P565" s="144">
        <v>3</v>
      </c>
      <c r="Q565" s="145" t="s">
        <v>575</v>
      </c>
      <c r="R565" s="146" t="s">
        <v>493</v>
      </c>
      <c r="S565" s="500"/>
      <c r="T565" s="500"/>
      <c r="U565" s="164">
        <v>1246.5999999999999</v>
      </c>
      <c r="V565" s="164">
        <v>0</v>
      </c>
      <c r="W565" s="164">
        <v>1246.5999999999999</v>
      </c>
      <c r="X565" s="514"/>
      <c r="Y565" s="514"/>
      <c r="Z565" s="514"/>
      <c r="AA565" s="514"/>
      <c r="AB565" s="514"/>
      <c r="AC565" s="514"/>
      <c r="AD565" s="514"/>
      <c r="AE565" s="164"/>
      <c r="AF565" s="160"/>
      <c r="AG565" s="160">
        <f>+AG566</f>
        <v>0</v>
      </c>
      <c r="AH565" s="170">
        <f t="shared" si="17"/>
        <v>0</v>
      </c>
    </row>
    <row r="566" spans="1:34" ht="12" customHeight="1" x14ac:dyDescent="0.2">
      <c r="A566" s="141"/>
      <c r="B566" s="515" t="s">
        <v>87</v>
      </c>
      <c r="C566" s="515"/>
      <c r="D566" s="515"/>
      <c r="E566" s="515"/>
      <c r="F566" s="515"/>
      <c r="G566" s="515"/>
      <c r="H566" s="515"/>
      <c r="I566" s="515"/>
      <c r="J566" s="515"/>
      <c r="K566" s="515"/>
      <c r="L566" s="515"/>
      <c r="M566" s="515"/>
      <c r="N566" s="143">
        <v>991</v>
      </c>
      <c r="O566" s="144">
        <v>10</v>
      </c>
      <c r="P566" s="144">
        <v>3</v>
      </c>
      <c r="Q566" s="145" t="s">
        <v>575</v>
      </c>
      <c r="R566" s="146" t="s">
        <v>494</v>
      </c>
      <c r="S566" s="500"/>
      <c r="T566" s="500"/>
      <c r="U566" s="164">
        <v>1246.5999999999999</v>
      </c>
      <c r="V566" s="164">
        <v>0</v>
      </c>
      <c r="W566" s="164">
        <v>1246.5999999999999</v>
      </c>
      <c r="X566" s="514"/>
      <c r="Y566" s="514"/>
      <c r="Z566" s="514"/>
      <c r="AA566" s="514"/>
      <c r="AB566" s="514"/>
      <c r="AC566" s="514"/>
      <c r="AD566" s="514"/>
      <c r="AE566" s="164"/>
      <c r="AF566" s="160"/>
      <c r="AG566" s="160"/>
      <c r="AH566" s="170">
        <f t="shared" si="17"/>
        <v>0</v>
      </c>
    </row>
    <row r="567" spans="1:34" s="159" customFormat="1" ht="21.75" customHeight="1" x14ac:dyDescent="0.2">
      <c r="A567" s="142"/>
      <c r="B567" s="516" t="s">
        <v>379</v>
      </c>
      <c r="C567" s="516"/>
      <c r="D567" s="516"/>
      <c r="E567" s="516"/>
      <c r="F567" s="516"/>
      <c r="G567" s="516"/>
      <c r="H567" s="516"/>
      <c r="I567" s="516"/>
      <c r="J567" s="516"/>
      <c r="K567" s="516"/>
      <c r="L567" s="516"/>
      <c r="M567" s="516"/>
      <c r="N567" s="147">
        <v>991</v>
      </c>
      <c r="O567" s="148">
        <v>10</v>
      </c>
      <c r="P567" s="148">
        <v>3</v>
      </c>
      <c r="Q567" s="149" t="s">
        <v>380</v>
      </c>
      <c r="R567" s="150">
        <v>0</v>
      </c>
      <c r="S567" s="517"/>
      <c r="T567" s="517"/>
      <c r="U567" s="161">
        <f>+U568</f>
        <v>0</v>
      </c>
      <c r="V567" s="161">
        <f t="shared" ref="V567:V569" si="19">+V568</f>
        <v>11</v>
      </c>
      <c r="W567" s="161" t="e">
        <f t="shared" ref="W567:W570" si="20">+V567/U567*100</f>
        <v>#DIV/0!</v>
      </c>
      <c r="X567" s="518"/>
      <c r="Y567" s="518"/>
      <c r="Z567" s="518"/>
      <c r="AA567" s="518"/>
      <c r="AB567" s="518"/>
      <c r="AC567" s="518"/>
      <c r="AD567" s="518"/>
      <c r="AE567" s="161"/>
      <c r="AF567" s="162"/>
      <c r="AG567" s="162">
        <f>+AG568</f>
        <v>20</v>
      </c>
      <c r="AH567" s="170" t="e">
        <f t="shared" si="17"/>
        <v>#DIV/0!</v>
      </c>
    </row>
    <row r="568" spans="1:34" s="159" customFormat="1" ht="14.25" customHeight="1" x14ac:dyDescent="0.2">
      <c r="A568" s="142"/>
      <c r="B568" s="516" t="s">
        <v>381</v>
      </c>
      <c r="C568" s="516"/>
      <c r="D568" s="516"/>
      <c r="E568" s="516"/>
      <c r="F568" s="516"/>
      <c r="G568" s="516"/>
      <c r="H568" s="516"/>
      <c r="I568" s="516"/>
      <c r="J568" s="516"/>
      <c r="K568" s="516"/>
      <c r="L568" s="516"/>
      <c r="M568" s="516"/>
      <c r="N568" s="147">
        <v>991</v>
      </c>
      <c r="O568" s="148">
        <v>10</v>
      </c>
      <c r="P568" s="148">
        <v>3</v>
      </c>
      <c r="Q568" s="149" t="s">
        <v>382</v>
      </c>
      <c r="R568" s="150">
        <v>0</v>
      </c>
      <c r="S568" s="517"/>
      <c r="T568" s="517"/>
      <c r="U568" s="161">
        <f>+U569</f>
        <v>0</v>
      </c>
      <c r="V568" s="161">
        <f t="shared" si="19"/>
        <v>11</v>
      </c>
      <c r="W568" s="161" t="e">
        <f t="shared" si="20"/>
        <v>#DIV/0!</v>
      </c>
      <c r="X568" s="518"/>
      <c r="Y568" s="518"/>
      <c r="Z568" s="518"/>
      <c r="AA568" s="518"/>
      <c r="AB568" s="518"/>
      <c r="AC568" s="518"/>
      <c r="AD568" s="518"/>
      <c r="AE568" s="161"/>
      <c r="AF568" s="162"/>
      <c r="AG568" s="163">
        <f>+AG569</f>
        <v>20</v>
      </c>
      <c r="AH568" s="170" t="e">
        <f t="shared" si="17"/>
        <v>#DIV/0!</v>
      </c>
    </row>
    <row r="569" spans="1:34" s="159" customFormat="1" ht="17.25" customHeight="1" x14ac:dyDescent="0.2">
      <c r="A569" s="142"/>
      <c r="B569" s="516" t="s">
        <v>46</v>
      </c>
      <c r="C569" s="516"/>
      <c r="D569" s="516"/>
      <c r="E569" s="516"/>
      <c r="F569" s="516"/>
      <c r="G569" s="516"/>
      <c r="H569" s="516"/>
      <c r="I569" s="516"/>
      <c r="J569" s="516"/>
      <c r="K569" s="516"/>
      <c r="L569" s="516"/>
      <c r="M569" s="516"/>
      <c r="N569" s="147">
        <v>991</v>
      </c>
      <c r="O569" s="148">
        <v>10</v>
      </c>
      <c r="P569" s="148">
        <v>3</v>
      </c>
      <c r="Q569" s="149" t="s">
        <v>382</v>
      </c>
      <c r="R569" s="150" t="s">
        <v>43</v>
      </c>
      <c r="S569" s="517"/>
      <c r="T569" s="517"/>
      <c r="U569" s="161">
        <f>+U570</f>
        <v>0</v>
      </c>
      <c r="V569" s="161">
        <f t="shared" si="19"/>
        <v>11</v>
      </c>
      <c r="W569" s="161" t="e">
        <f t="shared" si="20"/>
        <v>#DIV/0!</v>
      </c>
      <c r="X569" s="518"/>
      <c r="Y569" s="518"/>
      <c r="Z569" s="518"/>
      <c r="AA569" s="518"/>
      <c r="AB569" s="518"/>
      <c r="AC569" s="518"/>
      <c r="AD569" s="518"/>
      <c r="AE569" s="161"/>
      <c r="AF569" s="162"/>
      <c r="AG569" s="163">
        <f>+AG570</f>
        <v>20</v>
      </c>
      <c r="AH569" s="170" t="e">
        <f t="shared" si="17"/>
        <v>#DIV/0!</v>
      </c>
    </row>
    <row r="570" spans="1:34" s="159" customFormat="1" ht="12" customHeight="1" x14ac:dyDescent="0.2">
      <c r="A570" s="142"/>
      <c r="B570" s="516" t="s">
        <v>601</v>
      </c>
      <c r="C570" s="516"/>
      <c r="D570" s="516"/>
      <c r="E570" s="516"/>
      <c r="F570" s="516"/>
      <c r="G570" s="516"/>
      <c r="H570" s="516"/>
      <c r="I570" s="516"/>
      <c r="J570" s="516"/>
      <c r="K570" s="516"/>
      <c r="L570" s="516"/>
      <c r="M570" s="516"/>
      <c r="N570" s="147">
        <v>991</v>
      </c>
      <c r="O570" s="148">
        <v>10</v>
      </c>
      <c r="P570" s="148">
        <v>3</v>
      </c>
      <c r="Q570" s="149" t="s">
        <v>382</v>
      </c>
      <c r="R570" s="150" t="s">
        <v>602</v>
      </c>
      <c r="S570" s="517"/>
      <c r="T570" s="517"/>
      <c r="U570" s="161"/>
      <c r="V570" s="161">
        <v>11</v>
      </c>
      <c r="W570" s="161" t="e">
        <f t="shared" si="20"/>
        <v>#DIV/0!</v>
      </c>
      <c r="X570" s="518"/>
      <c r="Y570" s="518"/>
      <c r="Z570" s="518"/>
      <c r="AA570" s="518"/>
      <c r="AB570" s="518"/>
      <c r="AC570" s="518"/>
      <c r="AD570" s="518"/>
      <c r="AE570" s="161"/>
      <c r="AF570" s="162"/>
      <c r="AG570" s="162">
        <v>20</v>
      </c>
      <c r="AH570" s="170" t="e">
        <f t="shared" si="17"/>
        <v>#DIV/0!</v>
      </c>
    </row>
    <row r="571" spans="1:34" ht="12" customHeight="1" x14ac:dyDescent="0.2">
      <c r="A571" s="141"/>
      <c r="B571" s="515" t="s">
        <v>507</v>
      </c>
      <c r="C571" s="515"/>
      <c r="D571" s="515"/>
      <c r="E571" s="515"/>
      <c r="F571" s="515"/>
      <c r="G571" s="515"/>
      <c r="H571" s="515"/>
      <c r="I571" s="515"/>
      <c r="J571" s="515"/>
      <c r="K571" s="515"/>
      <c r="L571" s="515"/>
      <c r="M571" s="515"/>
      <c r="N571" s="143">
        <v>991</v>
      </c>
      <c r="O571" s="144">
        <v>11</v>
      </c>
      <c r="P571" s="144">
        <v>0</v>
      </c>
      <c r="Q571" s="145">
        <v>0</v>
      </c>
      <c r="R571" s="146">
        <v>0</v>
      </c>
      <c r="S571" s="500"/>
      <c r="T571" s="500"/>
      <c r="U571" s="164">
        <v>400</v>
      </c>
      <c r="V571" s="164">
        <v>0</v>
      </c>
      <c r="W571" s="164">
        <v>400</v>
      </c>
      <c r="X571" s="514"/>
      <c r="Y571" s="514"/>
      <c r="Z571" s="514"/>
      <c r="AA571" s="514"/>
      <c r="AB571" s="514"/>
      <c r="AC571" s="514"/>
      <c r="AD571" s="514"/>
      <c r="AE571" s="164"/>
      <c r="AF571" s="160"/>
      <c r="AG571" s="160">
        <f>+AG572</f>
        <v>81</v>
      </c>
      <c r="AH571" s="170">
        <f t="shared" si="17"/>
        <v>20.25</v>
      </c>
    </row>
    <row r="572" spans="1:34" ht="12" customHeight="1" x14ac:dyDescent="0.2">
      <c r="A572" s="141"/>
      <c r="B572" s="515" t="s">
        <v>99</v>
      </c>
      <c r="C572" s="515"/>
      <c r="D572" s="515"/>
      <c r="E572" s="515"/>
      <c r="F572" s="515"/>
      <c r="G572" s="515"/>
      <c r="H572" s="515"/>
      <c r="I572" s="515"/>
      <c r="J572" s="515"/>
      <c r="K572" s="515"/>
      <c r="L572" s="515"/>
      <c r="M572" s="515"/>
      <c r="N572" s="143">
        <v>991</v>
      </c>
      <c r="O572" s="144">
        <v>11</v>
      </c>
      <c r="P572" s="144">
        <v>5</v>
      </c>
      <c r="Q572" s="145">
        <v>0</v>
      </c>
      <c r="R572" s="146">
        <v>0</v>
      </c>
      <c r="S572" s="500"/>
      <c r="T572" s="500"/>
      <c r="U572" s="164">
        <v>400</v>
      </c>
      <c r="V572" s="164">
        <v>0</v>
      </c>
      <c r="W572" s="164">
        <v>400</v>
      </c>
      <c r="X572" s="514"/>
      <c r="Y572" s="514"/>
      <c r="Z572" s="514"/>
      <c r="AA572" s="514"/>
      <c r="AB572" s="514"/>
      <c r="AC572" s="514"/>
      <c r="AD572" s="514"/>
      <c r="AE572" s="164"/>
      <c r="AF572" s="160"/>
      <c r="AG572" s="160">
        <f>+AG573+AG579</f>
        <v>81</v>
      </c>
      <c r="AH572" s="170">
        <f t="shared" si="17"/>
        <v>20.25</v>
      </c>
    </row>
    <row r="573" spans="1:34" ht="32.25" customHeight="1" x14ac:dyDescent="0.2">
      <c r="A573" s="141"/>
      <c r="B573" s="515" t="s">
        <v>495</v>
      </c>
      <c r="C573" s="515"/>
      <c r="D573" s="515"/>
      <c r="E573" s="515"/>
      <c r="F573" s="515"/>
      <c r="G573" s="515"/>
      <c r="H573" s="515"/>
      <c r="I573" s="515"/>
      <c r="J573" s="515"/>
      <c r="K573" s="515"/>
      <c r="L573" s="515"/>
      <c r="M573" s="515"/>
      <c r="N573" s="143">
        <v>991</v>
      </c>
      <c r="O573" s="144">
        <v>11</v>
      </c>
      <c r="P573" s="144">
        <v>5</v>
      </c>
      <c r="Q573" s="145" t="s">
        <v>496</v>
      </c>
      <c r="R573" s="146">
        <v>0</v>
      </c>
      <c r="S573" s="500"/>
      <c r="T573" s="500"/>
      <c r="U573" s="164">
        <v>180</v>
      </c>
      <c r="V573" s="164">
        <v>0</v>
      </c>
      <c r="W573" s="164">
        <v>180</v>
      </c>
      <c r="X573" s="514"/>
      <c r="Y573" s="514"/>
      <c r="Z573" s="514"/>
      <c r="AA573" s="514"/>
      <c r="AB573" s="514"/>
      <c r="AC573" s="514"/>
      <c r="AD573" s="514"/>
      <c r="AE573" s="164"/>
      <c r="AF573" s="160"/>
      <c r="AG573" s="160">
        <f>+AG574</f>
        <v>0</v>
      </c>
      <c r="AH573" s="170">
        <f t="shared" si="17"/>
        <v>0</v>
      </c>
    </row>
    <row r="574" spans="1:34" ht="12" customHeight="1" x14ac:dyDescent="0.2">
      <c r="A574" s="141"/>
      <c r="B574" s="515" t="s">
        <v>113</v>
      </c>
      <c r="C574" s="515"/>
      <c r="D574" s="515"/>
      <c r="E574" s="515"/>
      <c r="F574" s="515"/>
      <c r="G574" s="515"/>
      <c r="H574" s="515"/>
      <c r="I574" s="515"/>
      <c r="J574" s="515"/>
      <c r="K574" s="515"/>
      <c r="L574" s="515"/>
      <c r="M574" s="515"/>
      <c r="N574" s="143">
        <v>991</v>
      </c>
      <c r="O574" s="144">
        <v>11</v>
      </c>
      <c r="P574" s="144">
        <v>5</v>
      </c>
      <c r="Q574" s="145" t="s">
        <v>508</v>
      </c>
      <c r="R574" s="146">
        <v>0</v>
      </c>
      <c r="S574" s="500"/>
      <c r="T574" s="500"/>
      <c r="U574" s="164">
        <v>180</v>
      </c>
      <c r="V574" s="164">
        <v>0</v>
      </c>
      <c r="W574" s="164">
        <v>180</v>
      </c>
      <c r="X574" s="514"/>
      <c r="Y574" s="514"/>
      <c r="Z574" s="514"/>
      <c r="AA574" s="514"/>
      <c r="AB574" s="514"/>
      <c r="AC574" s="514"/>
      <c r="AD574" s="514"/>
      <c r="AE574" s="164"/>
      <c r="AF574" s="160"/>
      <c r="AG574" s="160">
        <f>+AG575</f>
        <v>0</v>
      </c>
      <c r="AH574" s="170">
        <f t="shared" si="17"/>
        <v>0</v>
      </c>
    </row>
    <row r="575" spans="1:34" ht="12" customHeight="1" x14ac:dyDescent="0.2">
      <c r="A575" s="141"/>
      <c r="B575" s="515" t="s">
        <v>100</v>
      </c>
      <c r="C575" s="515"/>
      <c r="D575" s="515"/>
      <c r="E575" s="515"/>
      <c r="F575" s="515"/>
      <c r="G575" s="515"/>
      <c r="H575" s="515"/>
      <c r="I575" s="515"/>
      <c r="J575" s="515"/>
      <c r="K575" s="515"/>
      <c r="L575" s="515"/>
      <c r="M575" s="515"/>
      <c r="N575" s="143">
        <v>991</v>
      </c>
      <c r="O575" s="144">
        <v>11</v>
      </c>
      <c r="P575" s="144">
        <v>5</v>
      </c>
      <c r="Q575" s="145" t="s">
        <v>509</v>
      </c>
      <c r="R575" s="146">
        <v>0</v>
      </c>
      <c r="S575" s="500"/>
      <c r="T575" s="500"/>
      <c r="U575" s="164">
        <v>180</v>
      </c>
      <c r="V575" s="164">
        <v>0</v>
      </c>
      <c r="W575" s="164">
        <v>180</v>
      </c>
      <c r="X575" s="514"/>
      <c r="Y575" s="514"/>
      <c r="Z575" s="514"/>
      <c r="AA575" s="514"/>
      <c r="AB575" s="514"/>
      <c r="AC575" s="514"/>
      <c r="AD575" s="514"/>
      <c r="AE575" s="164"/>
      <c r="AF575" s="160"/>
      <c r="AG575" s="160">
        <f>+AG576</f>
        <v>0</v>
      </c>
      <c r="AH575" s="170">
        <f t="shared" si="17"/>
        <v>0</v>
      </c>
    </row>
    <row r="576" spans="1:34" ht="21.75" customHeight="1" x14ac:dyDescent="0.2">
      <c r="A576" s="141"/>
      <c r="B576" s="515" t="s">
        <v>345</v>
      </c>
      <c r="C576" s="515"/>
      <c r="D576" s="515"/>
      <c r="E576" s="515"/>
      <c r="F576" s="515"/>
      <c r="G576" s="515"/>
      <c r="H576" s="515"/>
      <c r="I576" s="515"/>
      <c r="J576" s="515"/>
      <c r="K576" s="515"/>
      <c r="L576" s="515"/>
      <c r="M576" s="515"/>
      <c r="N576" s="143">
        <v>991</v>
      </c>
      <c r="O576" s="144">
        <v>11</v>
      </c>
      <c r="P576" s="144">
        <v>5</v>
      </c>
      <c r="Q576" s="145" t="s">
        <v>509</v>
      </c>
      <c r="R576" s="146" t="s">
        <v>24</v>
      </c>
      <c r="S576" s="500"/>
      <c r="T576" s="500"/>
      <c r="U576" s="164">
        <v>180</v>
      </c>
      <c r="V576" s="164">
        <v>0</v>
      </c>
      <c r="W576" s="164">
        <v>180</v>
      </c>
      <c r="X576" s="514"/>
      <c r="Y576" s="514"/>
      <c r="Z576" s="514"/>
      <c r="AA576" s="514"/>
      <c r="AB576" s="514"/>
      <c r="AC576" s="514"/>
      <c r="AD576" s="514"/>
      <c r="AE576" s="164"/>
      <c r="AF576" s="160"/>
      <c r="AG576" s="160">
        <f>+AG577</f>
        <v>0</v>
      </c>
      <c r="AH576" s="170">
        <f t="shared" si="17"/>
        <v>0</v>
      </c>
    </row>
    <row r="577" spans="1:34" ht="21.75" customHeight="1" x14ac:dyDescent="0.2">
      <c r="A577" s="141"/>
      <c r="B577" s="515" t="s">
        <v>346</v>
      </c>
      <c r="C577" s="515"/>
      <c r="D577" s="515"/>
      <c r="E577" s="515"/>
      <c r="F577" s="515"/>
      <c r="G577" s="515"/>
      <c r="H577" s="515"/>
      <c r="I577" s="515"/>
      <c r="J577" s="515"/>
      <c r="K577" s="515"/>
      <c r="L577" s="515"/>
      <c r="M577" s="515"/>
      <c r="N577" s="143">
        <v>991</v>
      </c>
      <c r="O577" s="144">
        <v>11</v>
      </c>
      <c r="P577" s="144">
        <v>5</v>
      </c>
      <c r="Q577" s="145" t="s">
        <v>509</v>
      </c>
      <c r="R577" s="146" t="s">
        <v>26</v>
      </c>
      <c r="S577" s="500"/>
      <c r="T577" s="500"/>
      <c r="U577" s="164">
        <v>180</v>
      </c>
      <c r="V577" s="164">
        <v>0</v>
      </c>
      <c r="W577" s="164">
        <v>180</v>
      </c>
      <c r="X577" s="514"/>
      <c r="Y577" s="514"/>
      <c r="Z577" s="514"/>
      <c r="AA577" s="514"/>
      <c r="AB577" s="514"/>
      <c r="AC577" s="514"/>
      <c r="AD577" s="514"/>
      <c r="AE577" s="164"/>
      <c r="AF577" s="160"/>
      <c r="AG577" s="160">
        <f>+AG578</f>
        <v>0</v>
      </c>
      <c r="AH577" s="170">
        <f t="shared" si="17"/>
        <v>0</v>
      </c>
    </row>
    <row r="578" spans="1:34" ht="12" customHeight="1" x14ac:dyDescent="0.2">
      <c r="A578" s="141"/>
      <c r="B578" s="515" t="s">
        <v>348</v>
      </c>
      <c r="C578" s="515"/>
      <c r="D578" s="515"/>
      <c r="E578" s="515"/>
      <c r="F578" s="515"/>
      <c r="G578" s="515"/>
      <c r="H578" s="515"/>
      <c r="I578" s="515"/>
      <c r="J578" s="515"/>
      <c r="K578" s="515"/>
      <c r="L578" s="515"/>
      <c r="M578" s="515"/>
      <c r="N578" s="143">
        <v>991</v>
      </c>
      <c r="O578" s="144">
        <v>11</v>
      </c>
      <c r="P578" s="144">
        <v>5</v>
      </c>
      <c r="Q578" s="145" t="s">
        <v>509</v>
      </c>
      <c r="R578" s="146" t="s">
        <v>28</v>
      </c>
      <c r="S578" s="500"/>
      <c r="T578" s="500"/>
      <c r="U578" s="164">
        <v>180</v>
      </c>
      <c r="V578" s="164">
        <v>0</v>
      </c>
      <c r="W578" s="164">
        <v>180</v>
      </c>
      <c r="X578" s="514"/>
      <c r="Y578" s="514"/>
      <c r="Z578" s="514"/>
      <c r="AA578" s="514"/>
      <c r="AB578" s="514"/>
      <c r="AC578" s="514"/>
      <c r="AD578" s="514"/>
      <c r="AE578" s="164"/>
      <c r="AF578" s="160"/>
      <c r="AG578" s="160"/>
      <c r="AH578" s="170">
        <f t="shared" si="17"/>
        <v>0</v>
      </c>
    </row>
    <row r="579" spans="1:34" ht="32.25" customHeight="1" x14ac:dyDescent="0.2">
      <c r="A579" s="141"/>
      <c r="B579" s="515" t="s">
        <v>495</v>
      </c>
      <c r="C579" s="515"/>
      <c r="D579" s="515"/>
      <c r="E579" s="515"/>
      <c r="F579" s="515"/>
      <c r="G579" s="515"/>
      <c r="H579" s="515"/>
      <c r="I579" s="515"/>
      <c r="J579" s="515"/>
      <c r="K579" s="515"/>
      <c r="L579" s="515"/>
      <c r="M579" s="515"/>
      <c r="N579" s="143">
        <v>991</v>
      </c>
      <c r="O579" s="144">
        <v>11</v>
      </c>
      <c r="P579" s="144">
        <v>5</v>
      </c>
      <c r="Q579" s="145" t="s">
        <v>496</v>
      </c>
      <c r="R579" s="146">
        <v>0</v>
      </c>
      <c r="S579" s="500"/>
      <c r="T579" s="500"/>
      <c r="U579" s="164">
        <v>220</v>
      </c>
      <c r="V579" s="164">
        <v>0</v>
      </c>
      <c r="W579" s="164">
        <v>220</v>
      </c>
      <c r="X579" s="514"/>
      <c r="Y579" s="514"/>
      <c r="Z579" s="514"/>
      <c r="AA579" s="514"/>
      <c r="AB579" s="514"/>
      <c r="AC579" s="514"/>
      <c r="AD579" s="514"/>
      <c r="AE579" s="164"/>
      <c r="AF579" s="160"/>
      <c r="AG579" s="160">
        <f>+AG580</f>
        <v>81</v>
      </c>
      <c r="AH579" s="170">
        <f t="shared" si="17"/>
        <v>36.818181818181813</v>
      </c>
    </row>
    <row r="580" spans="1:34" ht="12" customHeight="1" x14ac:dyDescent="0.2">
      <c r="A580" s="141"/>
      <c r="B580" s="515" t="s">
        <v>497</v>
      </c>
      <c r="C580" s="515"/>
      <c r="D580" s="515"/>
      <c r="E580" s="515"/>
      <c r="F580" s="515"/>
      <c r="G580" s="515"/>
      <c r="H580" s="515"/>
      <c r="I580" s="515"/>
      <c r="J580" s="515"/>
      <c r="K580" s="515"/>
      <c r="L580" s="515"/>
      <c r="M580" s="515"/>
      <c r="N580" s="143">
        <v>991</v>
      </c>
      <c r="O580" s="144">
        <v>11</v>
      </c>
      <c r="P580" s="144">
        <v>5</v>
      </c>
      <c r="Q580" s="145" t="s">
        <v>498</v>
      </c>
      <c r="R580" s="146">
        <v>0</v>
      </c>
      <c r="S580" s="500"/>
      <c r="T580" s="500"/>
      <c r="U580" s="164">
        <v>220</v>
      </c>
      <c r="V580" s="164">
        <v>0</v>
      </c>
      <c r="W580" s="164">
        <v>220</v>
      </c>
      <c r="X580" s="514"/>
      <c r="Y580" s="514"/>
      <c r="Z580" s="514"/>
      <c r="AA580" s="514"/>
      <c r="AB580" s="514"/>
      <c r="AC580" s="514"/>
      <c r="AD580" s="514"/>
      <c r="AE580" s="164"/>
      <c r="AF580" s="160"/>
      <c r="AG580" s="160">
        <f>+AG581</f>
        <v>81</v>
      </c>
      <c r="AH580" s="170">
        <f t="shared" si="17"/>
        <v>36.818181818181813</v>
      </c>
    </row>
    <row r="581" spans="1:34" ht="12" customHeight="1" x14ac:dyDescent="0.2">
      <c r="A581" s="141"/>
      <c r="B581" s="515" t="s">
        <v>100</v>
      </c>
      <c r="C581" s="515"/>
      <c r="D581" s="515"/>
      <c r="E581" s="515"/>
      <c r="F581" s="515"/>
      <c r="G581" s="515"/>
      <c r="H581" s="515"/>
      <c r="I581" s="515"/>
      <c r="J581" s="515"/>
      <c r="K581" s="515"/>
      <c r="L581" s="515"/>
      <c r="M581" s="515"/>
      <c r="N581" s="143">
        <v>991</v>
      </c>
      <c r="O581" s="144">
        <v>11</v>
      </c>
      <c r="P581" s="144">
        <v>5</v>
      </c>
      <c r="Q581" s="145" t="s">
        <v>510</v>
      </c>
      <c r="R581" s="146">
        <v>0</v>
      </c>
      <c r="S581" s="500"/>
      <c r="T581" s="500"/>
      <c r="U581" s="164">
        <v>220</v>
      </c>
      <c r="V581" s="164">
        <v>0</v>
      </c>
      <c r="W581" s="164">
        <v>220</v>
      </c>
      <c r="X581" s="514"/>
      <c r="Y581" s="514"/>
      <c r="Z581" s="514"/>
      <c r="AA581" s="514"/>
      <c r="AB581" s="514"/>
      <c r="AC581" s="514"/>
      <c r="AD581" s="514"/>
      <c r="AE581" s="164"/>
      <c r="AF581" s="160"/>
      <c r="AG581" s="160">
        <f>+AG582</f>
        <v>81</v>
      </c>
      <c r="AH581" s="170">
        <f t="shared" si="17"/>
        <v>36.818181818181813</v>
      </c>
    </row>
    <row r="582" spans="1:34" ht="21.75" customHeight="1" x14ac:dyDescent="0.2">
      <c r="A582" s="141"/>
      <c r="B582" s="515" t="s">
        <v>345</v>
      </c>
      <c r="C582" s="515"/>
      <c r="D582" s="515"/>
      <c r="E582" s="515"/>
      <c r="F582" s="515"/>
      <c r="G582" s="515"/>
      <c r="H582" s="515"/>
      <c r="I582" s="515"/>
      <c r="J582" s="515"/>
      <c r="K582" s="515"/>
      <c r="L582" s="515"/>
      <c r="M582" s="515"/>
      <c r="N582" s="143">
        <v>991</v>
      </c>
      <c r="O582" s="144">
        <v>11</v>
      </c>
      <c r="P582" s="144">
        <v>5</v>
      </c>
      <c r="Q582" s="145" t="s">
        <v>510</v>
      </c>
      <c r="R582" s="146" t="s">
        <v>24</v>
      </c>
      <c r="S582" s="500"/>
      <c r="T582" s="500"/>
      <c r="U582" s="164">
        <v>220</v>
      </c>
      <c r="V582" s="164">
        <v>0</v>
      </c>
      <c r="W582" s="164">
        <v>220</v>
      </c>
      <c r="X582" s="514"/>
      <c r="Y582" s="514"/>
      <c r="Z582" s="514"/>
      <c r="AA582" s="514"/>
      <c r="AB582" s="514"/>
      <c r="AC582" s="514"/>
      <c r="AD582" s="514"/>
      <c r="AE582" s="164"/>
      <c r="AF582" s="160"/>
      <c r="AG582" s="160">
        <f>+AG583</f>
        <v>81</v>
      </c>
      <c r="AH582" s="170">
        <f t="shared" si="17"/>
        <v>36.818181818181813</v>
      </c>
    </row>
    <row r="583" spans="1:34" ht="21.75" customHeight="1" x14ac:dyDescent="0.2">
      <c r="A583" s="141"/>
      <c r="B583" s="515" t="s">
        <v>346</v>
      </c>
      <c r="C583" s="515"/>
      <c r="D583" s="515"/>
      <c r="E583" s="515"/>
      <c r="F583" s="515"/>
      <c r="G583" s="515"/>
      <c r="H583" s="515"/>
      <c r="I583" s="515"/>
      <c r="J583" s="515"/>
      <c r="K583" s="515"/>
      <c r="L583" s="515"/>
      <c r="M583" s="515"/>
      <c r="N583" s="143">
        <v>991</v>
      </c>
      <c r="O583" s="144">
        <v>11</v>
      </c>
      <c r="P583" s="144">
        <v>5</v>
      </c>
      <c r="Q583" s="145" t="s">
        <v>510</v>
      </c>
      <c r="R583" s="146" t="s">
        <v>26</v>
      </c>
      <c r="S583" s="500"/>
      <c r="T583" s="500"/>
      <c r="U583" s="164">
        <v>220</v>
      </c>
      <c r="V583" s="164">
        <v>0</v>
      </c>
      <c r="W583" s="164">
        <v>220</v>
      </c>
      <c r="X583" s="514"/>
      <c r="Y583" s="514"/>
      <c r="Z583" s="514"/>
      <c r="AA583" s="514"/>
      <c r="AB583" s="514"/>
      <c r="AC583" s="514"/>
      <c r="AD583" s="514"/>
      <c r="AE583" s="164"/>
      <c r="AF583" s="160"/>
      <c r="AG583" s="160">
        <f>+AG584</f>
        <v>81</v>
      </c>
      <c r="AH583" s="170">
        <f t="shared" si="17"/>
        <v>36.818181818181813</v>
      </c>
    </row>
    <row r="584" spans="1:34" ht="12" customHeight="1" x14ac:dyDescent="0.2">
      <c r="A584" s="141"/>
      <c r="B584" s="515" t="s">
        <v>348</v>
      </c>
      <c r="C584" s="515"/>
      <c r="D584" s="515"/>
      <c r="E584" s="515"/>
      <c r="F584" s="515"/>
      <c r="G584" s="515"/>
      <c r="H584" s="515"/>
      <c r="I584" s="515"/>
      <c r="J584" s="515"/>
      <c r="K584" s="515"/>
      <c r="L584" s="515"/>
      <c r="M584" s="515"/>
      <c r="N584" s="143">
        <v>991</v>
      </c>
      <c r="O584" s="144">
        <v>11</v>
      </c>
      <c r="P584" s="144">
        <v>5</v>
      </c>
      <c r="Q584" s="145" t="s">
        <v>510</v>
      </c>
      <c r="R584" s="146" t="s">
        <v>28</v>
      </c>
      <c r="S584" s="500"/>
      <c r="T584" s="500"/>
      <c r="U584" s="164">
        <v>220</v>
      </c>
      <c r="V584" s="164">
        <v>0</v>
      </c>
      <c r="W584" s="164">
        <v>220</v>
      </c>
      <c r="X584" s="514"/>
      <c r="Y584" s="514"/>
      <c r="Z584" s="514"/>
      <c r="AA584" s="514"/>
      <c r="AB584" s="514"/>
      <c r="AC584" s="514"/>
      <c r="AD584" s="514"/>
      <c r="AE584" s="164"/>
      <c r="AF584" s="160"/>
      <c r="AG584" s="160">
        <v>81</v>
      </c>
      <c r="AH584" s="170">
        <f t="shared" si="17"/>
        <v>36.818181818181813</v>
      </c>
    </row>
    <row r="585" spans="1:34" ht="12" customHeight="1" x14ac:dyDescent="0.2">
      <c r="A585" s="141"/>
      <c r="B585" s="515" t="s">
        <v>511</v>
      </c>
      <c r="C585" s="515"/>
      <c r="D585" s="515"/>
      <c r="E585" s="515"/>
      <c r="F585" s="515"/>
      <c r="G585" s="515"/>
      <c r="H585" s="515"/>
      <c r="I585" s="515"/>
      <c r="J585" s="515"/>
      <c r="K585" s="515"/>
      <c r="L585" s="515"/>
      <c r="M585" s="515"/>
      <c r="N585" s="143">
        <v>991</v>
      </c>
      <c r="O585" s="144">
        <v>12</v>
      </c>
      <c r="P585" s="144">
        <v>0</v>
      </c>
      <c r="Q585" s="145">
        <v>0</v>
      </c>
      <c r="R585" s="146">
        <v>0</v>
      </c>
      <c r="S585" s="500"/>
      <c r="T585" s="500"/>
      <c r="U585" s="164">
        <v>180</v>
      </c>
      <c r="V585" s="164">
        <v>0</v>
      </c>
      <c r="W585" s="164">
        <v>180</v>
      </c>
      <c r="X585" s="514"/>
      <c r="Y585" s="514"/>
      <c r="Z585" s="514"/>
      <c r="AA585" s="514"/>
      <c r="AB585" s="514"/>
      <c r="AC585" s="514"/>
      <c r="AD585" s="514"/>
      <c r="AE585" s="164"/>
      <c r="AF585" s="160"/>
      <c r="AG585" s="160">
        <f t="shared" ref="AG585:AG590" si="21">+AG586</f>
        <v>20</v>
      </c>
      <c r="AH585" s="170">
        <f t="shared" si="17"/>
        <v>11.111111111111111</v>
      </c>
    </row>
    <row r="586" spans="1:34" ht="12" customHeight="1" x14ac:dyDescent="0.2">
      <c r="A586" s="141"/>
      <c r="B586" s="515" t="s">
        <v>101</v>
      </c>
      <c r="C586" s="515"/>
      <c r="D586" s="515"/>
      <c r="E586" s="515"/>
      <c r="F586" s="515"/>
      <c r="G586" s="515"/>
      <c r="H586" s="515"/>
      <c r="I586" s="515"/>
      <c r="J586" s="515"/>
      <c r="K586" s="515"/>
      <c r="L586" s="515"/>
      <c r="M586" s="515"/>
      <c r="N586" s="143">
        <v>991</v>
      </c>
      <c r="O586" s="144">
        <v>12</v>
      </c>
      <c r="P586" s="144">
        <v>2</v>
      </c>
      <c r="Q586" s="145">
        <v>0</v>
      </c>
      <c r="R586" s="146">
        <v>0</v>
      </c>
      <c r="S586" s="500"/>
      <c r="T586" s="500"/>
      <c r="U586" s="164">
        <v>180</v>
      </c>
      <c r="V586" s="164">
        <v>0</v>
      </c>
      <c r="W586" s="164">
        <v>180</v>
      </c>
      <c r="X586" s="514"/>
      <c r="Y586" s="514"/>
      <c r="Z586" s="514"/>
      <c r="AA586" s="514"/>
      <c r="AB586" s="514"/>
      <c r="AC586" s="514"/>
      <c r="AD586" s="514"/>
      <c r="AE586" s="164"/>
      <c r="AF586" s="160"/>
      <c r="AG586" s="160">
        <f t="shared" si="21"/>
        <v>20</v>
      </c>
      <c r="AH586" s="170">
        <f t="shared" si="17"/>
        <v>11.111111111111111</v>
      </c>
    </row>
    <row r="587" spans="1:34" ht="32.25" customHeight="1" x14ac:dyDescent="0.2">
      <c r="A587" s="141"/>
      <c r="B587" s="515" t="s">
        <v>329</v>
      </c>
      <c r="C587" s="515"/>
      <c r="D587" s="515"/>
      <c r="E587" s="515"/>
      <c r="F587" s="515"/>
      <c r="G587" s="515"/>
      <c r="H587" s="515"/>
      <c r="I587" s="515"/>
      <c r="J587" s="515"/>
      <c r="K587" s="515"/>
      <c r="L587" s="515"/>
      <c r="M587" s="515"/>
      <c r="N587" s="143">
        <v>991</v>
      </c>
      <c r="O587" s="144">
        <v>12</v>
      </c>
      <c r="P587" s="144">
        <v>2</v>
      </c>
      <c r="Q587" s="145" t="s">
        <v>330</v>
      </c>
      <c r="R587" s="146">
        <v>0</v>
      </c>
      <c r="S587" s="500"/>
      <c r="T587" s="500"/>
      <c r="U587" s="164">
        <v>180</v>
      </c>
      <c r="V587" s="164">
        <v>0</v>
      </c>
      <c r="W587" s="164">
        <v>180</v>
      </c>
      <c r="X587" s="514"/>
      <c r="Y587" s="514"/>
      <c r="Z587" s="514"/>
      <c r="AA587" s="514"/>
      <c r="AB587" s="514"/>
      <c r="AC587" s="514"/>
      <c r="AD587" s="514"/>
      <c r="AE587" s="164"/>
      <c r="AF587" s="160"/>
      <c r="AG587" s="160">
        <f t="shared" si="21"/>
        <v>20</v>
      </c>
      <c r="AH587" s="170">
        <f t="shared" si="17"/>
        <v>11.111111111111111</v>
      </c>
    </row>
    <row r="588" spans="1:34" ht="21.75" customHeight="1" x14ac:dyDescent="0.2">
      <c r="A588" s="141"/>
      <c r="B588" s="515" t="s">
        <v>512</v>
      </c>
      <c r="C588" s="515"/>
      <c r="D588" s="515"/>
      <c r="E588" s="515"/>
      <c r="F588" s="515"/>
      <c r="G588" s="515"/>
      <c r="H588" s="515"/>
      <c r="I588" s="515"/>
      <c r="J588" s="515"/>
      <c r="K588" s="515"/>
      <c r="L588" s="515"/>
      <c r="M588" s="515"/>
      <c r="N588" s="143">
        <v>991</v>
      </c>
      <c r="O588" s="144">
        <v>12</v>
      </c>
      <c r="P588" s="144">
        <v>2</v>
      </c>
      <c r="Q588" s="145" t="s">
        <v>513</v>
      </c>
      <c r="R588" s="146">
        <v>0</v>
      </c>
      <c r="S588" s="500"/>
      <c r="T588" s="500"/>
      <c r="U588" s="164">
        <v>180</v>
      </c>
      <c r="V588" s="164">
        <v>0</v>
      </c>
      <c r="W588" s="164">
        <v>180</v>
      </c>
      <c r="X588" s="514"/>
      <c r="Y588" s="514"/>
      <c r="Z588" s="514"/>
      <c r="AA588" s="514"/>
      <c r="AB588" s="514"/>
      <c r="AC588" s="514"/>
      <c r="AD588" s="514"/>
      <c r="AE588" s="164"/>
      <c r="AF588" s="160"/>
      <c r="AG588" s="160">
        <f t="shared" si="21"/>
        <v>20</v>
      </c>
      <c r="AH588" s="170">
        <f t="shared" si="17"/>
        <v>11.111111111111111</v>
      </c>
    </row>
    <row r="589" spans="1:34" ht="21.75" customHeight="1" x14ac:dyDescent="0.2">
      <c r="A589" s="141"/>
      <c r="B589" s="515" t="s">
        <v>345</v>
      </c>
      <c r="C589" s="515"/>
      <c r="D589" s="515"/>
      <c r="E589" s="515"/>
      <c r="F589" s="515"/>
      <c r="G589" s="515"/>
      <c r="H589" s="515"/>
      <c r="I589" s="515"/>
      <c r="J589" s="515"/>
      <c r="K589" s="515"/>
      <c r="L589" s="515"/>
      <c r="M589" s="515"/>
      <c r="N589" s="143">
        <v>991</v>
      </c>
      <c r="O589" s="144">
        <v>12</v>
      </c>
      <c r="P589" s="144">
        <v>2</v>
      </c>
      <c r="Q589" s="145" t="s">
        <v>513</v>
      </c>
      <c r="R589" s="146" t="s">
        <v>24</v>
      </c>
      <c r="S589" s="500"/>
      <c r="T589" s="500"/>
      <c r="U589" s="164">
        <v>180</v>
      </c>
      <c r="V589" s="164">
        <v>0</v>
      </c>
      <c r="W589" s="164">
        <v>180</v>
      </c>
      <c r="X589" s="514"/>
      <c r="Y589" s="514"/>
      <c r="Z589" s="514"/>
      <c r="AA589" s="514"/>
      <c r="AB589" s="514"/>
      <c r="AC589" s="514"/>
      <c r="AD589" s="514"/>
      <c r="AE589" s="164"/>
      <c r="AF589" s="160"/>
      <c r="AG589" s="160">
        <f t="shared" si="21"/>
        <v>20</v>
      </c>
      <c r="AH589" s="170">
        <f t="shared" si="17"/>
        <v>11.111111111111111</v>
      </c>
    </row>
    <row r="590" spans="1:34" ht="21.75" customHeight="1" x14ac:dyDescent="0.2">
      <c r="A590" s="141"/>
      <c r="B590" s="515" t="s">
        <v>346</v>
      </c>
      <c r="C590" s="515"/>
      <c r="D590" s="515"/>
      <c r="E590" s="515"/>
      <c r="F590" s="515"/>
      <c r="G590" s="515"/>
      <c r="H590" s="515"/>
      <c r="I590" s="515"/>
      <c r="J590" s="515"/>
      <c r="K590" s="515"/>
      <c r="L590" s="515"/>
      <c r="M590" s="515"/>
      <c r="N590" s="143">
        <v>991</v>
      </c>
      <c r="O590" s="144">
        <v>12</v>
      </c>
      <c r="P590" s="144">
        <v>2</v>
      </c>
      <c r="Q590" s="145" t="s">
        <v>513</v>
      </c>
      <c r="R590" s="146" t="s">
        <v>26</v>
      </c>
      <c r="S590" s="500"/>
      <c r="T590" s="500"/>
      <c r="U590" s="164">
        <v>180</v>
      </c>
      <c r="V590" s="164">
        <v>0</v>
      </c>
      <c r="W590" s="164">
        <v>180</v>
      </c>
      <c r="X590" s="514"/>
      <c r="Y590" s="514"/>
      <c r="Z590" s="514"/>
      <c r="AA590" s="514"/>
      <c r="AB590" s="514"/>
      <c r="AC590" s="514"/>
      <c r="AD590" s="514"/>
      <c r="AE590" s="164"/>
      <c r="AF590" s="160"/>
      <c r="AG590" s="160">
        <f t="shared" si="21"/>
        <v>20</v>
      </c>
      <c r="AH590" s="170">
        <f t="shared" si="17"/>
        <v>11.111111111111111</v>
      </c>
    </row>
    <row r="591" spans="1:34" ht="12" customHeight="1" x14ac:dyDescent="0.2">
      <c r="A591" s="141"/>
      <c r="B591" s="515" t="s">
        <v>348</v>
      </c>
      <c r="C591" s="515"/>
      <c r="D591" s="515"/>
      <c r="E591" s="515"/>
      <c r="F591" s="515"/>
      <c r="G591" s="515"/>
      <c r="H591" s="515"/>
      <c r="I591" s="515"/>
      <c r="J591" s="515"/>
      <c r="K591" s="515"/>
      <c r="L591" s="515"/>
      <c r="M591" s="515"/>
      <c r="N591" s="143">
        <v>991</v>
      </c>
      <c r="O591" s="144">
        <v>12</v>
      </c>
      <c r="P591" s="144">
        <v>2</v>
      </c>
      <c r="Q591" s="145" t="s">
        <v>513</v>
      </c>
      <c r="R591" s="146" t="s">
        <v>28</v>
      </c>
      <c r="S591" s="500"/>
      <c r="T591" s="500"/>
      <c r="U591" s="164">
        <v>180</v>
      </c>
      <c r="V591" s="164">
        <v>0</v>
      </c>
      <c r="W591" s="164">
        <v>180</v>
      </c>
      <c r="X591" s="514"/>
      <c r="Y591" s="514"/>
      <c r="Z591" s="514"/>
      <c r="AA591" s="514"/>
      <c r="AB591" s="514"/>
      <c r="AC591" s="514"/>
      <c r="AD591" s="514"/>
      <c r="AE591" s="164"/>
      <c r="AF591" s="160"/>
      <c r="AG591" s="160">
        <v>20</v>
      </c>
      <c r="AH591" s="170">
        <f t="shared" si="17"/>
        <v>11.111111111111111</v>
      </c>
    </row>
    <row r="592" spans="1:34" ht="21.75" customHeight="1" x14ac:dyDescent="0.2">
      <c r="A592" s="141"/>
      <c r="B592" s="515" t="s">
        <v>102</v>
      </c>
      <c r="C592" s="515"/>
      <c r="D592" s="515"/>
      <c r="E592" s="515"/>
      <c r="F592" s="515"/>
      <c r="G592" s="515"/>
      <c r="H592" s="515"/>
      <c r="I592" s="515"/>
      <c r="J592" s="515"/>
      <c r="K592" s="515"/>
      <c r="L592" s="515"/>
      <c r="M592" s="515"/>
      <c r="N592" s="143">
        <v>998</v>
      </c>
      <c r="O592" s="144">
        <v>0</v>
      </c>
      <c r="P592" s="144">
        <v>0</v>
      </c>
      <c r="Q592" s="145">
        <v>0</v>
      </c>
      <c r="R592" s="146">
        <v>0</v>
      </c>
      <c r="S592" s="500"/>
      <c r="T592" s="500"/>
      <c r="U592" s="164">
        <v>24485.437000000002</v>
      </c>
      <c r="V592" s="164">
        <v>0</v>
      </c>
      <c r="W592" s="164">
        <v>24485.437000000002</v>
      </c>
      <c r="X592" s="514"/>
      <c r="Y592" s="514"/>
      <c r="Z592" s="514"/>
      <c r="AA592" s="514"/>
      <c r="AB592" s="514"/>
      <c r="AC592" s="514"/>
      <c r="AD592" s="514"/>
      <c r="AE592" s="164"/>
      <c r="AF592" s="160"/>
      <c r="AG592" s="160">
        <f>+AG593+AG630+AG636</f>
        <v>5835.64642</v>
      </c>
      <c r="AH592" s="170">
        <f t="shared" si="17"/>
        <v>23.833131587563656</v>
      </c>
    </row>
    <row r="593" spans="1:34" ht="12" customHeight="1" x14ac:dyDescent="0.2">
      <c r="A593" s="141"/>
      <c r="B593" s="515" t="s">
        <v>328</v>
      </c>
      <c r="C593" s="515"/>
      <c r="D593" s="515"/>
      <c r="E593" s="515"/>
      <c r="F593" s="515"/>
      <c r="G593" s="515"/>
      <c r="H593" s="515"/>
      <c r="I593" s="515"/>
      <c r="J593" s="515"/>
      <c r="K593" s="515"/>
      <c r="L593" s="515"/>
      <c r="M593" s="515"/>
      <c r="N593" s="143">
        <v>998</v>
      </c>
      <c r="O593" s="144">
        <v>1</v>
      </c>
      <c r="P593" s="144">
        <v>0</v>
      </c>
      <c r="Q593" s="145">
        <v>0</v>
      </c>
      <c r="R593" s="146">
        <v>0</v>
      </c>
      <c r="S593" s="500"/>
      <c r="T593" s="500"/>
      <c r="U593" s="164">
        <v>6882.05</v>
      </c>
      <c r="V593" s="164">
        <v>0</v>
      </c>
      <c r="W593" s="164">
        <v>6882.05</v>
      </c>
      <c r="X593" s="514"/>
      <c r="Y593" s="514"/>
      <c r="Z593" s="514"/>
      <c r="AA593" s="514"/>
      <c r="AB593" s="514"/>
      <c r="AC593" s="514"/>
      <c r="AD593" s="514"/>
      <c r="AE593" s="164"/>
      <c r="AF593" s="160"/>
      <c r="AG593" s="160">
        <f>+AG594+AG615</f>
        <v>1310.0426399999999</v>
      </c>
      <c r="AH593" s="170">
        <f t="shared" si="17"/>
        <v>19.035645483540513</v>
      </c>
    </row>
    <row r="594" spans="1:34" ht="32.25" customHeight="1" x14ac:dyDescent="0.2">
      <c r="A594" s="141"/>
      <c r="B594" s="515" t="s">
        <v>78</v>
      </c>
      <c r="C594" s="515"/>
      <c r="D594" s="515"/>
      <c r="E594" s="515"/>
      <c r="F594" s="515"/>
      <c r="G594" s="515"/>
      <c r="H594" s="515"/>
      <c r="I594" s="515"/>
      <c r="J594" s="515"/>
      <c r="K594" s="515"/>
      <c r="L594" s="515"/>
      <c r="M594" s="515"/>
      <c r="N594" s="143">
        <v>998</v>
      </c>
      <c r="O594" s="144">
        <v>1</v>
      </c>
      <c r="P594" s="144">
        <v>6</v>
      </c>
      <c r="Q594" s="145">
        <v>0</v>
      </c>
      <c r="R594" s="146">
        <v>0</v>
      </c>
      <c r="S594" s="500"/>
      <c r="T594" s="500"/>
      <c r="U594" s="164">
        <v>6496.8280000000004</v>
      </c>
      <c r="V594" s="164">
        <v>0</v>
      </c>
      <c r="W594" s="164">
        <v>6496.8280000000004</v>
      </c>
      <c r="X594" s="514"/>
      <c r="Y594" s="514"/>
      <c r="Z594" s="514"/>
      <c r="AA594" s="514"/>
      <c r="AB594" s="514"/>
      <c r="AC594" s="514"/>
      <c r="AD594" s="514"/>
      <c r="AE594" s="164"/>
      <c r="AF594" s="160"/>
      <c r="AG594" s="160">
        <f>+AG595</f>
        <v>1219.0083199999999</v>
      </c>
      <c r="AH594" s="170">
        <f t="shared" si="17"/>
        <v>18.763130561560192</v>
      </c>
    </row>
    <row r="595" spans="1:34" ht="21.75" customHeight="1" x14ac:dyDescent="0.2">
      <c r="A595" s="141"/>
      <c r="B595" s="515" t="s">
        <v>59</v>
      </c>
      <c r="C595" s="515"/>
      <c r="D595" s="515"/>
      <c r="E595" s="515"/>
      <c r="F595" s="515"/>
      <c r="G595" s="515"/>
      <c r="H595" s="515"/>
      <c r="I595" s="515"/>
      <c r="J595" s="515"/>
      <c r="K595" s="515"/>
      <c r="L595" s="515"/>
      <c r="M595" s="515"/>
      <c r="N595" s="143">
        <v>998</v>
      </c>
      <c r="O595" s="144">
        <v>1</v>
      </c>
      <c r="P595" s="144">
        <v>6</v>
      </c>
      <c r="Q595" s="145" t="s">
        <v>361</v>
      </c>
      <c r="R595" s="146">
        <v>0</v>
      </c>
      <c r="S595" s="500"/>
      <c r="T595" s="500"/>
      <c r="U595" s="164">
        <v>6496.8280000000004</v>
      </c>
      <c r="V595" s="164">
        <v>0</v>
      </c>
      <c r="W595" s="164">
        <v>6496.8280000000004</v>
      </c>
      <c r="X595" s="514"/>
      <c r="Y595" s="514"/>
      <c r="Z595" s="514"/>
      <c r="AA595" s="514"/>
      <c r="AB595" s="514"/>
      <c r="AC595" s="514"/>
      <c r="AD595" s="514"/>
      <c r="AE595" s="164"/>
      <c r="AF595" s="160"/>
      <c r="AG595" s="160">
        <f>+AG596+AG601+AG611</f>
        <v>1219.0083199999999</v>
      </c>
      <c r="AH595" s="170">
        <f t="shared" si="17"/>
        <v>18.763130561560192</v>
      </c>
    </row>
    <row r="596" spans="1:34" ht="42.75" customHeight="1" x14ac:dyDescent="0.2">
      <c r="A596" s="141"/>
      <c r="B596" s="515" t="s">
        <v>362</v>
      </c>
      <c r="C596" s="515"/>
      <c r="D596" s="515"/>
      <c r="E596" s="515"/>
      <c r="F596" s="515"/>
      <c r="G596" s="515"/>
      <c r="H596" s="515"/>
      <c r="I596" s="515"/>
      <c r="J596" s="515"/>
      <c r="K596" s="515"/>
      <c r="L596" s="515"/>
      <c r="M596" s="515"/>
      <c r="N596" s="143">
        <v>998</v>
      </c>
      <c r="O596" s="144">
        <v>1</v>
      </c>
      <c r="P596" s="144">
        <v>6</v>
      </c>
      <c r="Q596" s="145" t="s">
        <v>363</v>
      </c>
      <c r="R596" s="146">
        <v>0</v>
      </c>
      <c r="S596" s="500"/>
      <c r="T596" s="500"/>
      <c r="U596" s="164">
        <v>4116.5280000000002</v>
      </c>
      <c r="V596" s="164">
        <v>0</v>
      </c>
      <c r="W596" s="164">
        <v>4116.5280000000002</v>
      </c>
      <c r="X596" s="514"/>
      <c r="Y596" s="514"/>
      <c r="Z596" s="514"/>
      <c r="AA596" s="514"/>
      <c r="AB596" s="514"/>
      <c r="AC596" s="514"/>
      <c r="AD596" s="514"/>
      <c r="AE596" s="164"/>
      <c r="AF596" s="160"/>
      <c r="AG596" s="160">
        <f>+AG597</f>
        <v>1015.86019</v>
      </c>
      <c r="AH596" s="170">
        <f t="shared" si="17"/>
        <v>24.677596994360293</v>
      </c>
    </row>
    <row r="597" spans="1:34" ht="53.25" customHeight="1" x14ac:dyDescent="0.2">
      <c r="A597" s="141"/>
      <c r="B597" s="515" t="s">
        <v>17</v>
      </c>
      <c r="C597" s="515"/>
      <c r="D597" s="515"/>
      <c r="E597" s="515"/>
      <c r="F597" s="515"/>
      <c r="G597" s="515"/>
      <c r="H597" s="515"/>
      <c r="I597" s="515"/>
      <c r="J597" s="515"/>
      <c r="K597" s="515"/>
      <c r="L597" s="515"/>
      <c r="M597" s="515"/>
      <c r="N597" s="143">
        <v>998</v>
      </c>
      <c r="O597" s="144">
        <v>1</v>
      </c>
      <c r="P597" s="144">
        <v>6</v>
      </c>
      <c r="Q597" s="145" t="s">
        <v>363</v>
      </c>
      <c r="R597" s="146" t="s">
        <v>18</v>
      </c>
      <c r="S597" s="500"/>
      <c r="T597" s="500"/>
      <c r="U597" s="164">
        <v>4116.5280000000002</v>
      </c>
      <c r="V597" s="164">
        <v>0</v>
      </c>
      <c r="W597" s="164">
        <v>4116.5280000000002</v>
      </c>
      <c r="X597" s="514"/>
      <c r="Y597" s="514"/>
      <c r="Z597" s="514"/>
      <c r="AA597" s="514"/>
      <c r="AB597" s="514"/>
      <c r="AC597" s="514"/>
      <c r="AD597" s="514"/>
      <c r="AE597" s="164"/>
      <c r="AF597" s="160"/>
      <c r="AG597" s="160">
        <f>+AG598</f>
        <v>1015.86019</v>
      </c>
      <c r="AH597" s="170">
        <f t="shared" si="17"/>
        <v>24.677596994360293</v>
      </c>
    </row>
    <row r="598" spans="1:34" ht="21.75" customHeight="1" x14ac:dyDescent="0.2">
      <c r="A598" s="141"/>
      <c r="B598" s="515" t="s">
        <v>37</v>
      </c>
      <c r="C598" s="515"/>
      <c r="D598" s="515"/>
      <c r="E598" s="515"/>
      <c r="F598" s="515"/>
      <c r="G598" s="515"/>
      <c r="H598" s="515"/>
      <c r="I598" s="515"/>
      <c r="J598" s="515"/>
      <c r="K598" s="515"/>
      <c r="L598" s="515"/>
      <c r="M598" s="515"/>
      <c r="N598" s="143">
        <v>998</v>
      </c>
      <c r="O598" s="144">
        <v>1</v>
      </c>
      <c r="P598" s="144">
        <v>6</v>
      </c>
      <c r="Q598" s="145" t="s">
        <v>363</v>
      </c>
      <c r="R598" s="146" t="s">
        <v>38</v>
      </c>
      <c r="S598" s="500"/>
      <c r="T598" s="500"/>
      <c r="U598" s="164">
        <v>4116.5280000000002</v>
      </c>
      <c r="V598" s="164">
        <v>0</v>
      </c>
      <c r="W598" s="164">
        <v>4116.5280000000002</v>
      </c>
      <c r="X598" s="514"/>
      <c r="Y598" s="514"/>
      <c r="Z598" s="514"/>
      <c r="AA598" s="514"/>
      <c r="AB598" s="514"/>
      <c r="AC598" s="514"/>
      <c r="AD598" s="514"/>
      <c r="AE598" s="164"/>
      <c r="AF598" s="160"/>
      <c r="AG598" s="160">
        <f>+AG599+AG600</f>
        <v>1015.86019</v>
      </c>
      <c r="AH598" s="170">
        <f t="shared" si="17"/>
        <v>24.677596994360293</v>
      </c>
    </row>
    <row r="599" spans="1:34" ht="21.75" customHeight="1" x14ac:dyDescent="0.2">
      <c r="A599" s="141"/>
      <c r="B599" s="515" t="s">
        <v>333</v>
      </c>
      <c r="C599" s="515"/>
      <c r="D599" s="515"/>
      <c r="E599" s="515"/>
      <c r="F599" s="515"/>
      <c r="G599" s="515"/>
      <c r="H599" s="515"/>
      <c r="I599" s="515"/>
      <c r="J599" s="515"/>
      <c r="K599" s="515"/>
      <c r="L599" s="515"/>
      <c r="M599" s="515"/>
      <c r="N599" s="143">
        <v>998</v>
      </c>
      <c r="O599" s="144">
        <v>1</v>
      </c>
      <c r="P599" s="144">
        <v>6</v>
      </c>
      <c r="Q599" s="145" t="s">
        <v>363</v>
      </c>
      <c r="R599" s="146" t="s">
        <v>39</v>
      </c>
      <c r="S599" s="500"/>
      <c r="T599" s="500"/>
      <c r="U599" s="164">
        <v>3161.7080000000001</v>
      </c>
      <c r="V599" s="164">
        <v>0</v>
      </c>
      <c r="W599" s="164">
        <v>3161.7080000000001</v>
      </c>
      <c r="X599" s="514"/>
      <c r="Y599" s="514"/>
      <c r="Z599" s="514"/>
      <c r="AA599" s="514"/>
      <c r="AB599" s="514"/>
      <c r="AC599" s="514"/>
      <c r="AD599" s="514"/>
      <c r="AE599" s="164"/>
      <c r="AF599" s="160"/>
      <c r="AG599" s="160">
        <v>782.07388000000003</v>
      </c>
      <c r="AH599" s="170">
        <f t="shared" si="17"/>
        <v>24.735803559341978</v>
      </c>
    </row>
    <row r="600" spans="1:34" ht="32.25" customHeight="1" x14ac:dyDescent="0.2">
      <c r="A600" s="141"/>
      <c r="B600" s="515" t="s">
        <v>334</v>
      </c>
      <c r="C600" s="515"/>
      <c r="D600" s="515"/>
      <c r="E600" s="515"/>
      <c r="F600" s="515"/>
      <c r="G600" s="515"/>
      <c r="H600" s="515"/>
      <c r="I600" s="515"/>
      <c r="J600" s="515"/>
      <c r="K600" s="515"/>
      <c r="L600" s="515"/>
      <c r="M600" s="515"/>
      <c r="N600" s="143">
        <v>998</v>
      </c>
      <c r="O600" s="144">
        <v>1</v>
      </c>
      <c r="P600" s="144">
        <v>6</v>
      </c>
      <c r="Q600" s="145" t="s">
        <v>363</v>
      </c>
      <c r="R600" s="146" t="s">
        <v>41</v>
      </c>
      <c r="S600" s="500"/>
      <c r="T600" s="500"/>
      <c r="U600" s="164">
        <v>954.82</v>
      </c>
      <c r="V600" s="164">
        <v>0</v>
      </c>
      <c r="W600" s="164">
        <v>954.82</v>
      </c>
      <c r="X600" s="514"/>
      <c r="Y600" s="514"/>
      <c r="Z600" s="514"/>
      <c r="AA600" s="514"/>
      <c r="AB600" s="514"/>
      <c r="AC600" s="514"/>
      <c r="AD600" s="514"/>
      <c r="AE600" s="164"/>
      <c r="AF600" s="160"/>
      <c r="AG600" s="160">
        <v>233.78630999999999</v>
      </c>
      <c r="AH600" s="170">
        <f t="shared" si="17"/>
        <v>24.484856831654131</v>
      </c>
    </row>
    <row r="601" spans="1:34" ht="21.75" customHeight="1" x14ac:dyDescent="0.2">
      <c r="A601" s="141"/>
      <c r="B601" s="515" t="s">
        <v>59</v>
      </c>
      <c r="C601" s="515"/>
      <c r="D601" s="515"/>
      <c r="E601" s="515"/>
      <c r="F601" s="515"/>
      <c r="G601" s="515"/>
      <c r="H601" s="515"/>
      <c r="I601" s="515"/>
      <c r="J601" s="515"/>
      <c r="K601" s="515"/>
      <c r="L601" s="515"/>
      <c r="M601" s="515"/>
      <c r="N601" s="143">
        <v>998</v>
      </c>
      <c r="O601" s="144">
        <v>1</v>
      </c>
      <c r="P601" s="144">
        <v>6</v>
      </c>
      <c r="Q601" s="145" t="s">
        <v>364</v>
      </c>
      <c r="R601" s="146">
        <v>0</v>
      </c>
      <c r="S601" s="500"/>
      <c r="T601" s="500"/>
      <c r="U601" s="164">
        <v>2221.4</v>
      </c>
      <c r="V601" s="164">
        <v>0</v>
      </c>
      <c r="W601" s="164">
        <v>2221.4</v>
      </c>
      <c r="X601" s="514"/>
      <c r="Y601" s="514"/>
      <c r="Z601" s="514"/>
      <c r="AA601" s="514"/>
      <c r="AB601" s="514"/>
      <c r="AC601" s="514"/>
      <c r="AD601" s="514"/>
      <c r="AE601" s="164"/>
      <c r="AF601" s="160"/>
      <c r="AG601" s="160">
        <f>+AG602+AG606</f>
        <v>192.54813000000001</v>
      </c>
      <c r="AH601" s="170">
        <f t="shared" si="17"/>
        <v>8.6678729629963094</v>
      </c>
    </row>
    <row r="602" spans="1:34" ht="21.75" customHeight="1" x14ac:dyDescent="0.2">
      <c r="A602" s="141"/>
      <c r="B602" s="515" t="s">
        <v>345</v>
      </c>
      <c r="C602" s="515"/>
      <c r="D602" s="515"/>
      <c r="E602" s="515"/>
      <c r="F602" s="515"/>
      <c r="G602" s="515"/>
      <c r="H602" s="515"/>
      <c r="I602" s="515"/>
      <c r="J602" s="515"/>
      <c r="K602" s="515"/>
      <c r="L602" s="515"/>
      <c r="M602" s="515"/>
      <c r="N602" s="143">
        <v>998</v>
      </c>
      <c r="O602" s="144">
        <v>1</v>
      </c>
      <c r="P602" s="144">
        <v>6</v>
      </c>
      <c r="Q602" s="145" t="s">
        <v>364</v>
      </c>
      <c r="R602" s="146" t="s">
        <v>24</v>
      </c>
      <c r="S602" s="500"/>
      <c r="T602" s="500"/>
      <c r="U602" s="164">
        <v>2212.4</v>
      </c>
      <c r="V602" s="164">
        <v>0</v>
      </c>
      <c r="W602" s="164">
        <v>2212.4</v>
      </c>
      <c r="X602" s="514"/>
      <c r="Y602" s="514"/>
      <c r="Z602" s="514"/>
      <c r="AA602" s="514"/>
      <c r="AB602" s="514"/>
      <c r="AC602" s="514"/>
      <c r="AD602" s="514"/>
      <c r="AE602" s="164"/>
      <c r="AF602" s="160"/>
      <c r="AG602" s="160">
        <f>+AG603</f>
        <v>192.36457000000001</v>
      </c>
      <c r="AH602" s="170">
        <f t="shared" si="17"/>
        <v>8.6948368287832221</v>
      </c>
    </row>
    <row r="603" spans="1:34" ht="21.75" customHeight="1" x14ac:dyDescent="0.2">
      <c r="A603" s="141"/>
      <c r="B603" s="515" t="s">
        <v>346</v>
      </c>
      <c r="C603" s="515"/>
      <c r="D603" s="515"/>
      <c r="E603" s="515"/>
      <c r="F603" s="515"/>
      <c r="G603" s="515"/>
      <c r="H603" s="515"/>
      <c r="I603" s="515"/>
      <c r="J603" s="515"/>
      <c r="K603" s="515"/>
      <c r="L603" s="515"/>
      <c r="M603" s="515"/>
      <c r="N603" s="143">
        <v>998</v>
      </c>
      <c r="O603" s="144">
        <v>1</v>
      </c>
      <c r="P603" s="144">
        <v>6</v>
      </c>
      <c r="Q603" s="145" t="s">
        <v>364</v>
      </c>
      <c r="R603" s="146" t="s">
        <v>26</v>
      </c>
      <c r="S603" s="500"/>
      <c r="T603" s="500"/>
      <c r="U603" s="164">
        <v>2212.4</v>
      </c>
      <c r="V603" s="164">
        <v>0</v>
      </c>
      <c r="W603" s="164">
        <v>2212.4</v>
      </c>
      <c r="X603" s="514"/>
      <c r="Y603" s="514"/>
      <c r="Z603" s="514"/>
      <c r="AA603" s="514"/>
      <c r="AB603" s="514"/>
      <c r="AC603" s="514"/>
      <c r="AD603" s="514"/>
      <c r="AE603" s="164"/>
      <c r="AF603" s="160"/>
      <c r="AG603" s="160">
        <f>+AG604+AG605</f>
        <v>192.36457000000001</v>
      </c>
      <c r="AH603" s="170">
        <f t="shared" ref="AH603:AH657" si="22">AG603/U603*100</f>
        <v>8.6948368287832221</v>
      </c>
    </row>
    <row r="604" spans="1:34" ht="21.75" customHeight="1" x14ac:dyDescent="0.2">
      <c r="A604" s="141"/>
      <c r="B604" s="515" t="s">
        <v>347</v>
      </c>
      <c r="C604" s="515"/>
      <c r="D604" s="515"/>
      <c r="E604" s="515"/>
      <c r="F604" s="515"/>
      <c r="G604" s="515"/>
      <c r="H604" s="515"/>
      <c r="I604" s="515"/>
      <c r="J604" s="515"/>
      <c r="K604" s="515"/>
      <c r="L604" s="515"/>
      <c r="M604" s="515"/>
      <c r="N604" s="143">
        <v>998</v>
      </c>
      <c r="O604" s="144">
        <v>1</v>
      </c>
      <c r="P604" s="144">
        <v>6</v>
      </c>
      <c r="Q604" s="145" t="s">
        <v>364</v>
      </c>
      <c r="R604" s="146" t="s">
        <v>27</v>
      </c>
      <c r="S604" s="500"/>
      <c r="T604" s="500"/>
      <c r="U604" s="164">
        <v>567.20000000000005</v>
      </c>
      <c r="V604" s="164">
        <v>0</v>
      </c>
      <c r="W604" s="164">
        <v>567.20000000000005</v>
      </c>
      <c r="X604" s="514"/>
      <c r="Y604" s="514"/>
      <c r="Z604" s="514"/>
      <c r="AA604" s="514"/>
      <c r="AB604" s="514"/>
      <c r="AC604" s="514"/>
      <c r="AD604" s="514"/>
      <c r="AE604" s="164"/>
      <c r="AF604" s="160"/>
      <c r="AG604" s="160">
        <v>78.653880000000001</v>
      </c>
      <c r="AH604" s="170">
        <f t="shared" si="22"/>
        <v>13.867045133991537</v>
      </c>
    </row>
    <row r="605" spans="1:34" ht="12" customHeight="1" x14ac:dyDescent="0.2">
      <c r="A605" s="141"/>
      <c r="B605" s="515" t="s">
        <v>348</v>
      </c>
      <c r="C605" s="515"/>
      <c r="D605" s="515"/>
      <c r="E605" s="515"/>
      <c r="F605" s="515"/>
      <c r="G605" s="515"/>
      <c r="H605" s="515"/>
      <c r="I605" s="515"/>
      <c r="J605" s="515"/>
      <c r="K605" s="515"/>
      <c r="L605" s="515"/>
      <c r="M605" s="515"/>
      <c r="N605" s="143">
        <v>998</v>
      </c>
      <c r="O605" s="144">
        <v>1</v>
      </c>
      <c r="P605" s="144">
        <v>6</v>
      </c>
      <c r="Q605" s="145" t="s">
        <v>364</v>
      </c>
      <c r="R605" s="146" t="s">
        <v>28</v>
      </c>
      <c r="S605" s="500"/>
      <c r="T605" s="500"/>
      <c r="U605" s="164">
        <v>1645.2</v>
      </c>
      <c r="V605" s="164">
        <v>0</v>
      </c>
      <c r="W605" s="164">
        <v>1645.2</v>
      </c>
      <c r="X605" s="514"/>
      <c r="Y605" s="514"/>
      <c r="Z605" s="514"/>
      <c r="AA605" s="514"/>
      <c r="AB605" s="514"/>
      <c r="AC605" s="514"/>
      <c r="AD605" s="514"/>
      <c r="AE605" s="164"/>
      <c r="AF605" s="160"/>
      <c r="AG605" s="160">
        <v>113.71069</v>
      </c>
      <c r="AH605" s="170">
        <f t="shared" si="22"/>
        <v>6.911663627522489</v>
      </c>
    </row>
    <row r="606" spans="1:34" ht="12" customHeight="1" x14ac:dyDescent="0.2">
      <c r="A606" s="141"/>
      <c r="B606" s="515" t="s">
        <v>29</v>
      </c>
      <c r="C606" s="515"/>
      <c r="D606" s="515"/>
      <c r="E606" s="515"/>
      <c r="F606" s="515"/>
      <c r="G606" s="515"/>
      <c r="H606" s="515"/>
      <c r="I606" s="515"/>
      <c r="J606" s="515"/>
      <c r="K606" s="515"/>
      <c r="L606" s="515"/>
      <c r="M606" s="515"/>
      <c r="N606" s="143">
        <v>998</v>
      </c>
      <c r="O606" s="144">
        <v>1</v>
      </c>
      <c r="P606" s="144">
        <v>6</v>
      </c>
      <c r="Q606" s="145" t="s">
        <v>364</v>
      </c>
      <c r="R606" s="146" t="s">
        <v>30</v>
      </c>
      <c r="S606" s="500"/>
      <c r="T606" s="500"/>
      <c r="U606" s="164">
        <v>9</v>
      </c>
      <c r="V606" s="164">
        <v>0</v>
      </c>
      <c r="W606" s="164">
        <v>9</v>
      </c>
      <c r="X606" s="514"/>
      <c r="Y606" s="514"/>
      <c r="Z606" s="514"/>
      <c r="AA606" s="514"/>
      <c r="AB606" s="514"/>
      <c r="AC606" s="514"/>
      <c r="AD606" s="514"/>
      <c r="AE606" s="164"/>
      <c r="AF606" s="160"/>
      <c r="AG606" s="160">
        <f>+AG607</f>
        <v>0.18356</v>
      </c>
      <c r="AH606" s="170">
        <f t="shared" si="22"/>
        <v>2.0395555555555553</v>
      </c>
    </row>
    <row r="607" spans="1:34" ht="12" customHeight="1" x14ac:dyDescent="0.2">
      <c r="A607" s="141"/>
      <c r="B607" s="515" t="s">
        <v>349</v>
      </c>
      <c r="C607" s="515"/>
      <c r="D607" s="515"/>
      <c r="E607" s="515"/>
      <c r="F607" s="515"/>
      <c r="G607" s="515"/>
      <c r="H607" s="515"/>
      <c r="I607" s="515"/>
      <c r="J607" s="515"/>
      <c r="K607" s="515"/>
      <c r="L607" s="515"/>
      <c r="M607" s="515"/>
      <c r="N607" s="143">
        <v>998</v>
      </c>
      <c r="O607" s="144">
        <v>1</v>
      </c>
      <c r="P607" s="144">
        <v>6</v>
      </c>
      <c r="Q607" s="145" t="s">
        <v>364</v>
      </c>
      <c r="R607" s="146" t="s">
        <v>31</v>
      </c>
      <c r="S607" s="500"/>
      <c r="T607" s="500"/>
      <c r="U607" s="164">
        <v>9</v>
      </c>
      <c r="V607" s="164">
        <v>0</v>
      </c>
      <c r="W607" s="164">
        <v>9</v>
      </c>
      <c r="X607" s="514"/>
      <c r="Y607" s="514"/>
      <c r="Z607" s="514"/>
      <c r="AA607" s="514"/>
      <c r="AB607" s="514"/>
      <c r="AC607" s="514"/>
      <c r="AD607" s="514"/>
      <c r="AE607" s="164"/>
      <c r="AF607" s="160"/>
      <c r="AG607" s="160">
        <f>+AG608+AG609+AG610</f>
        <v>0.18356</v>
      </c>
      <c r="AH607" s="170">
        <f t="shared" si="22"/>
        <v>2.0395555555555553</v>
      </c>
    </row>
    <row r="608" spans="1:34" ht="21.75" customHeight="1" x14ac:dyDescent="0.2">
      <c r="A608" s="141"/>
      <c r="B608" s="515" t="s">
        <v>32</v>
      </c>
      <c r="C608" s="515"/>
      <c r="D608" s="515"/>
      <c r="E608" s="515"/>
      <c r="F608" s="515"/>
      <c r="G608" s="515"/>
      <c r="H608" s="515"/>
      <c r="I608" s="515"/>
      <c r="J608" s="515"/>
      <c r="K608" s="515"/>
      <c r="L608" s="515"/>
      <c r="M608" s="515"/>
      <c r="N608" s="143">
        <v>998</v>
      </c>
      <c r="O608" s="144">
        <v>1</v>
      </c>
      <c r="P608" s="144">
        <v>6</v>
      </c>
      <c r="Q608" s="145" t="s">
        <v>364</v>
      </c>
      <c r="R608" s="146" t="s">
        <v>33</v>
      </c>
      <c r="S608" s="500"/>
      <c r="T608" s="500"/>
      <c r="U608" s="164">
        <v>5</v>
      </c>
      <c r="V608" s="164">
        <v>0</v>
      </c>
      <c r="W608" s="164">
        <v>5</v>
      </c>
      <c r="X608" s="514"/>
      <c r="Y608" s="514"/>
      <c r="Z608" s="514"/>
      <c r="AA608" s="514"/>
      <c r="AB608" s="514"/>
      <c r="AC608" s="514"/>
      <c r="AD608" s="514"/>
      <c r="AE608" s="164"/>
      <c r="AF608" s="160"/>
      <c r="AG608" s="160"/>
      <c r="AH608" s="170">
        <f t="shared" si="22"/>
        <v>0</v>
      </c>
    </row>
    <row r="609" spans="1:34" ht="12" customHeight="1" x14ac:dyDescent="0.2">
      <c r="A609" s="141"/>
      <c r="B609" s="515" t="s">
        <v>350</v>
      </c>
      <c r="C609" s="515"/>
      <c r="D609" s="515"/>
      <c r="E609" s="515"/>
      <c r="F609" s="515"/>
      <c r="G609" s="515"/>
      <c r="H609" s="515"/>
      <c r="I609" s="515"/>
      <c r="J609" s="515"/>
      <c r="K609" s="515"/>
      <c r="L609" s="515"/>
      <c r="M609" s="515"/>
      <c r="N609" s="143">
        <v>998</v>
      </c>
      <c r="O609" s="144">
        <v>1</v>
      </c>
      <c r="P609" s="144">
        <v>6</v>
      </c>
      <c r="Q609" s="145" t="s">
        <v>364</v>
      </c>
      <c r="R609" s="146" t="s">
        <v>34</v>
      </c>
      <c r="S609" s="500"/>
      <c r="T609" s="500"/>
      <c r="U609" s="164">
        <v>3</v>
      </c>
      <c r="V609" s="164">
        <v>0</v>
      </c>
      <c r="W609" s="164">
        <v>3</v>
      </c>
      <c r="X609" s="514"/>
      <c r="Y609" s="514"/>
      <c r="Z609" s="514"/>
      <c r="AA609" s="514"/>
      <c r="AB609" s="514"/>
      <c r="AC609" s="514"/>
      <c r="AD609" s="514"/>
      <c r="AE609" s="164"/>
      <c r="AF609" s="160"/>
      <c r="AG609" s="160">
        <v>0.18356</v>
      </c>
      <c r="AH609" s="170">
        <f t="shared" si="22"/>
        <v>6.1186666666666669</v>
      </c>
    </row>
    <row r="610" spans="1:34" ht="12" customHeight="1" x14ac:dyDescent="0.2">
      <c r="A610" s="141"/>
      <c r="B610" s="515" t="s">
        <v>81</v>
      </c>
      <c r="C610" s="515"/>
      <c r="D610" s="515"/>
      <c r="E610" s="515"/>
      <c r="F610" s="515"/>
      <c r="G610" s="515"/>
      <c r="H610" s="515"/>
      <c r="I610" s="515"/>
      <c r="J610" s="515"/>
      <c r="K610" s="515"/>
      <c r="L610" s="515"/>
      <c r="M610" s="515"/>
      <c r="N610" s="143">
        <v>998</v>
      </c>
      <c r="O610" s="144">
        <v>1</v>
      </c>
      <c r="P610" s="144">
        <v>6</v>
      </c>
      <c r="Q610" s="145" t="s">
        <v>364</v>
      </c>
      <c r="R610" s="146" t="s">
        <v>82</v>
      </c>
      <c r="S610" s="500"/>
      <c r="T610" s="500"/>
      <c r="U610" s="164">
        <v>1</v>
      </c>
      <c r="V610" s="164">
        <v>0</v>
      </c>
      <c r="W610" s="164">
        <v>1</v>
      </c>
      <c r="X610" s="514"/>
      <c r="Y610" s="514"/>
      <c r="Z610" s="514"/>
      <c r="AA610" s="514"/>
      <c r="AB610" s="514"/>
      <c r="AC610" s="514"/>
      <c r="AD610" s="514"/>
      <c r="AE610" s="164"/>
      <c r="AF610" s="160"/>
      <c r="AG610" s="160"/>
      <c r="AH610" s="170">
        <f t="shared" si="22"/>
        <v>0</v>
      </c>
    </row>
    <row r="611" spans="1:34" ht="42.75" customHeight="1" x14ac:dyDescent="0.2">
      <c r="A611" s="141"/>
      <c r="B611" s="515" t="s">
        <v>365</v>
      </c>
      <c r="C611" s="515"/>
      <c r="D611" s="515"/>
      <c r="E611" s="515"/>
      <c r="F611" s="515"/>
      <c r="G611" s="515"/>
      <c r="H611" s="515"/>
      <c r="I611" s="515"/>
      <c r="J611" s="515"/>
      <c r="K611" s="515"/>
      <c r="L611" s="515"/>
      <c r="M611" s="515"/>
      <c r="N611" s="143">
        <v>998</v>
      </c>
      <c r="O611" s="144">
        <v>1</v>
      </c>
      <c r="P611" s="144">
        <v>6</v>
      </c>
      <c r="Q611" s="145" t="s">
        <v>366</v>
      </c>
      <c r="R611" s="146">
        <v>0</v>
      </c>
      <c r="S611" s="500"/>
      <c r="T611" s="500"/>
      <c r="U611" s="164">
        <v>158.9</v>
      </c>
      <c r="V611" s="164">
        <v>0</v>
      </c>
      <c r="W611" s="164">
        <v>158.9</v>
      </c>
      <c r="X611" s="514"/>
      <c r="Y611" s="514"/>
      <c r="Z611" s="514"/>
      <c r="AA611" s="514"/>
      <c r="AB611" s="514"/>
      <c r="AC611" s="514"/>
      <c r="AD611" s="514"/>
      <c r="AE611" s="164"/>
      <c r="AF611" s="160"/>
      <c r="AG611" s="160">
        <f>+AG612</f>
        <v>10.6</v>
      </c>
      <c r="AH611" s="170">
        <f t="shared" si="22"/>
        <v>6.6708621774701067</v>
      </c>
    </row>
    <row r="612" spans="1:34" ht="53.25" customHeight="1" x14ac:dyDescent="0.2">
      <c r="A612" s="141"/>
      <c r="B612" s="515" t="s">
        <v>17</v>
      </c>
      <c r="C612" s="515"/>
      <c r="D612" s="515"/>
      <c r="E612" s="515"/>
      <c r="F612" s="515"/>
      <c r="G612" s="515"/>
      <c r="H612" s="515"/>
      <c r="I612" s="515"/>
      <c r="J612" s="515"/>
      <c r="K612" s="515"/>
      <c r="L612" s="515"/>
      <c r="M612" s="515"/>
      <c r="N612" s="143">
        <v>998</v>
      </c>
      <c r="O612" s="144">
        <v>1</v>
      </c>
      <c r="P612" s="144">
        <v>6</v>
      </c>
      <c r="Q612" s="145" t="s">
        <v>366</v>
      </c>
      <c r="R612" s="146" t="s">
        <v>18</v>
      </c>
      <c r="S612" s="500"/>
      <c r="T612" s="500"/>
      <c r="U612" s="164">
        <v>158.9</v>
      </c>
      <c r="V612" s="164">
        <v>0</v>
      </c>
      <c r="W612" s="164">
        <v>158.9</v>
      </c>
      <c r="X612" s="514"/>
      <c r="Y612" s="514"/>
      <c r="Z612" s="514"/>
      <c r="AA612" s="514"/>
      <c r="AB612" s="514"/>
      <c r="AC612" s="514"/>
      <c r="AD612" s="514"/>
      <c r="AE612" s="164"/>
      <c r="AF612" s="160"/>
      <c r="AG612" s="160">
        <f>+AG613</f>
        <v>10.6</v>
      </c>
      <c r="AH612" s="170">
        <f t="shared" si="22"/>
        <v>6.6708621774701067</v>
      </c>
    </row>
    <row r="613" spans="1:34" ht="21.75" customHeight="1" x14ac:dyDescent="0.2">
      <c r="A613" s="141"/>
      <c r="B613" s="515" t="s">
        <v>37</v>
      </c>
      <c r="C613" s="515"/>
      <c r="D613" s="515"/>
      <c r="E613" s="515"/>
      <c r="F613" s="515"/>
      <c r="G613" s="515"/>
      <c r="H613" s="515"/>
      <c r="I613" s="515"/>
      <c r="J613" s="515"/>
      <c r="K613" s="515"/>
      <c r="L613" s="515"/>
      <c r="M613" s="515"/>
      <c r="N613" s="143">
        <v>998</v>
      </c>
      <c r="O613" s="144">
        <v>1</v>
      </c>
      <c r="P613" s="144">
        <v>6</v>
      </c>
      <c r="Q613" s="145" t="s">
        <v>366</v>
      </c>
      <c r="R613" s="146" t="s">
        <v>38</v>
      </c>
      <c r="S613" s="500"/>
      <c r="T613" s="500"/>
      <c r="U613" s="164">
        <v>158.9</v>
      </c>
      <c r="V613" s="164">
        <v>0</v>
      </c>
      <c r="W613" s="164">
        <v>158.9</v>
      </c>
      <c r="X613" s="514"/>
      <c r="Y613" s="514"/>
      <c r="Z613" s="514"/>
      <c r="AA613" s="514"/>
      <c r="AB613" s="514"/>
      <c r="AC613" s="514"/>
      <c r="AD613" s="514"/>
      <c r="AE613" s="164"/>
      <c r="AF613" s="160"/>
      <c r="AG613" s="160">
        <f>+AG614</f>
        <v>10.6</v>
      </c>
      <c r="AH613" s="170">
        <f t="shared" si="22"/>
        <v>6.6708621774701067</v>
      </c>
    </row>
    <row r="614" spans="1:34" ht="32.25" customHeight="1" x14ac:dyDescent="0.2">
      <c r="A614" s="141"/>
      <c r="B614" s="515" t="s">
        <v>351</v>
      </c>
      <c r="C614" s="515"/>
      <c r="D614" s="515"/>
      <c r="E614" s="515"/>
      <c r="F614" s="515"/>
      <c r="G614" s="515"/>
      <c r="H614" s="515"/>
      <c r="I614" s="515"/>
      <c r="J614" s="515"/>
      <c r="K614" s="515"/>
      <c r="L614" s="515"/>
      <c r="M614" s="515"/>
      <c r="N614" s="143">
        <v>998</v>
      </c>
      <c r="O614" s="144">
        <v>1</v>
      </c>
      <c r="P614" s="144">
        <v>6</v>
      </c>
      <c r="Q614" s="145" t="s">
        <v>366</v>
      </c>
      <c r="R614" s="146" t="s">
        <v>40</v>
      </c>
      <c r="S614" s="500"/>
      <c r="T614" s="500"/>
      <c r="U614" s="164">
        <v>158.9</v>
      </c>
      <c r="V614" s="164">
        <v>0</v>
      </c>
      <c r="W614" s="164">
        <v>158.9</v>
      </c>
      <c r="X614" s="514"/>
      <c r="Y614" s="514"/>
      <c r="Z614" s="514"/>
      <c r="AA614" s="514"/>
      <c r="AB614" s="514"/>
      <c r="AC614" s="514"/>
      <c r="AD614" s="514"/>
      <c r="AE614" s="164"/>
      <c r="AF614" s="160"/>
      <c r="AG614" s="160">
        <v>10.6</v>
      </c>
      <c r="AH614" s="170">
        <f t="shared" si="22"/>
        <v>6.6708621774701067</v>
      </c>
    </row>
    <row r="615" spans="1:34" ht="12" customHeight="1" x14ac:dyDescent="0.2">
      <c r="A615" s="141"/>
      <c r="B615" s="515" t="s">
        <v>85</v>
      </c>
      <c r="C615" s="515"/>
      <c r="D615" s="515"/>
      <c r="E615" s="515"/>
      <c r="F615" s="515"/>
      <c r="G615" s="515"/>
      <c r="H615" s="515"/>
      <c r="I615" s="515"/>
      <c r="J615" s="515"/>
      <c r="K615" s="515"/>
      <c r="L615" s="515"/>
      <c r="M615" s="515"/>
      <c r="N615" s="143">
        <v>998</v>
      </c>
      <c r="O615" s="144">
        <v>1</v>
      </c>
      <c r="P615" s="144">
        <v>13</v>
      </c>
      <c r="Q615" s="145">
        <v>0</v>
      </c>
      <c r="R615" s="146">
        <v>0</v>
      </c>
      <c r="S615" s="500"/>
      <c r="T615" s="500"/>
      <c r="U615" s="164">
        <v>385.22199999999998</v>
      </c>
      <c r="V615" s="164">
        <v>0</v>
      </c>
      <c r="W615" s="164">
        <v>385.22199999999998</v>
      </c>
      <c r="X615" s="514"/>
      <c r="Y615" s="514"/>
      <c r="Z615" s="514"/>
      <c r="AA615" s="514"/>
      <c r="AB615" s="514"/>
      <c r="AC615" s="514"/>
      <c r="AD615" s="514"/>
      <c r="AE615" s="164"/>
      <c r="AF615" s="160"/>
      <c r="AG615" s="160">
        <f>+AG616+AG626</f>
        <v>91.034320000000008</v>
      </c>
      <c r="AH615" s="170">
        <f t="shared" si="22"/>
        <v>23.631651359475839</v>
      </c>
    </row>
    <row r="616" spans="1:34" ht="21.75" customHeight="1" x14ac:dyDescent="0.2">
      <c r="A616" s="141"/>
      <c r="B616" s="515" t="s">
        <v>59</v>
      </c>
      <c r="C616" s="515"/>
      <c r="D616" s="515"/>
      <c r="E616" s="515"/>
      <c r="F616" s="515"/>
      <c r="G616" s="515"/>
      <c r="H616" s="515"/>
      <c r="I616" s="515"/>
      <c r="J616" s="515"/>
      <c r="K616" s="515"/>
      <c r="L616" s="515"/>
      <c r="M616" s="515"/>
      <c r="N616" s="143">
        <v>998</v>
      </c>
      <c r="O616" s="144">
        <v>1</v>
      </c>
      <c r="P616" s="144">
        <v>13</v>
      </c>
      <c r="Q616" s="145" t="s">
        <v>361</v>
      </c>
      <c r="R616" s="146">
        <v>0</v>
      </c>
      <c r="S616" s="500"/>
      <c r="T616" s="500"/>
      <c r="U616" s="164">
        <v>380.22199999999998</v>
      </c>
      <c r="V616" s="164">
        <v>0</v>
      </c>
      <c r="W616" s="164">
        <v>380.22199999999998</v>
      </c>
      <c r="X616" s="514"/>
      <c r="Y616" s="514"/>
      <c r="Z616" s="514"/>
      <c r="AA616" s="514"/>
      <c r="AB616" s="514"/>
      <c r="AC616" s="514"/>
      <c r="AD616" s="514"/>
      <c r="AE616" s="164"/>
      <c r="AF616" s="160"/>
      <c r="AG616" s="160">
        <f>+AG617+AG622</f>
        <v>91.034320000000008</v>
      </c>
      <c r="AH616" s="170">
        <f t="shared" si="22"/>
        <v>23.942412590539213</v>
      </c>
    </row>
    <row r="617" spans="1:34" ht="21.75" customHeight="1" x14ac:dyDescent="0.2">
      <c r="A617" s="141"/>
      <c r="B617" s="515" t="s">
        <v>395</v>
      </c>
      <c r="C617" s="515"/>
      <c r="D617" s="515"/>
      <c r="E617" s="515"/>
      <c r="F617" s="515"/>
      <c r="G617" s="515"/>
      <c r="H617" s="515"/>
      <c r="I617" s="515"/>
      <c r="J617" s="515"/>
      <c r="K617" s="515"/>
      <c r="L617" s="515"/>
      <c r="M617" s="515"/>
      <c r="N617" s="143">
        <v>998</v>
      </c>
      <c r="O617" s="144">
        <v>1</v>
      </c>
      <c r="P617" s="144">
        <v>13</v>
      </c>
      <c r="Q617" s="145" t="s">
        <v>396</v>
      </c>
      <c r="R617" s="146">
        <v>0</v>
      </c>
      <c r="S617" s="500"/>
      <c r="T617" s="500"/>
      <c r="U617" s="164">
        <v>377.22199999999998</v>
      </c>
      <c r="V617" s="164">
        <v>0</v>
      </c>
      <c r="W617" s="164">
        <v>377.22199999999998</v>
      </c>
      <c r="X617" s="514"/>
      <c r="Y617" s="514"/>
      <c r="Z617" s="514"/>
      <c r="AA617" s="514"/>
      <c r="AB617" s="514"/>
      <c r="AC617" s="514"/>
      <c r="AD617" s="514"/>
      <c r="AE617" s="164"/>
      <c r="AF617" s="160"/>
      <c r="AG617" s="160">
        <f>+AG618</f>
        <v>90.486320000000006</v>
      </c>
      <c r="AH617" s="170">
        <f t="shared" si="22"/>
        <v>23.987551097231872</v>
      </c>
    </row>
    <row r="618" spans="1:34" ht="53.25" customHeight="1" x14ac:dyDescent="0.2">
      <c r="A618" s="141"/>
      <c r="B618" s="515" t="s">
        <v>17</v>
      </c>
      <c r="C618" s="515"/>
      <c r="D618" s="515"/>
      <c r="E618" s="515"/>
      <c r="F618" s="515"/>
      <c r="G618" s="515"/>
      <c r="H618" s="515"/>
      <c r="I618" s="515"/>
      <c r="J618" s="515"/>
      <c r="K618" s="515"/>
      <c r="L618" s="515"/>
      <c r="M618" s="515"/>
      <c r="N618" s="143">
        <v>998</v>
      </c>
      <c r="O618" s="144">
        <v>1</v>
      </c>
      <c r="P618" s="144">
        <v>13</v>
      </c>
      <c r="Q618" s="145" t="s">
        <v>396</v>
      </c>
      <c r="R618" s="146" t="s">
        <v>18</v>
      </c>
      <c r="S618" s="500"/>
      <c r="T618" s="500"/>
      <c r="U618" s="164">
        <v>377.22199999999998</v>
      </c>
      <c r="V618" s="164">
        <v>0</v>
      </c>
      <c r="W618" s="164">
        <v>377.22199999999998</v>
      </c>
      <c r="X618" s="514"/>
      <c r="Y618" s="514"/>
      <c r="Z618" s="514"/>
      <c r="AA618" s="514"/>
      <c r="AB618" s="514"/>
      <c r="AC618" s="514"/>
      <c r="AD618" s="514"/>
      <c r="AE618" s="164"/>
      <c r="AF618" s="160"/>
      <c r="AG618" s="160">
        <f>+AG619</f>
        <v>90.486320000000006</v>
      </c>
      <c r="AH618" s="170">
        <f t="shared" si="22"/>
        <v>23.987551097231872</v>
      </c>
    </row>
    <row r="619" spans="1:34" ht="21.75" customHeight="1" x14ac:dyDescent="0.2">
      <c r="A619" s="141"/>
      <c r="B619" s="515" t="s">
        <v>37</v>
      </c>
      <c r="C619" s="515"/>
      <c r="D619" s="515"/>
      <c r="E619" s="515"/>
      <c r="F619" s="515"/>
      <c r="G619" s="515"/>
      <c r="H619" s="515"/>
      <c r="I619" s="515"/>
      <c r="J619" s="515"/>
      <c r="K619" s="515"/>
      <c r="L619" s="515"/>
      <c r="M619" s="515"/>
      <c r="N619" s="143">
        <v>998</v>
      </c>
      <c r="O619" s="144">
        <v>1</v>
      </c>
      <c r="P619" s="144">
        <v>13</v>
      </c>
      <c r="Q619" s="145" t="s">
        <v>396</v>
      </c>
      <c r="R619" s="146" t="s">
        <v>38</v>
      </c>
      <c r="S619" s="500"/>
      <c r="T619" s="500"/>
      <c r="U619" s="164">
        <v>377.22199999999998</v>
      </c>
      <c r="V619" s="164">
        <v>0</v>
      </c>
      <c r="W619" s="164">
        <v>377.22199999999998</v>
      </c>
      <c r="X619" s="514"/>
      <c r="Y619" s="514"/>
      <c r="Z619" s="514"/>
      <c r="AA619" s="514"/>
      <c r="AB619" s="514"/>
      <c r="AC619" s="514"/>
      <c r="AD619" s="514"/>
      <c r="AE619" s="164"/>
      <c r="AF619" s="160"/>
      <c r="AG619" s="160">
        <f>+AG620+AG621</f>
        <v>90.486320000000006</v>
      </c>
      <c r="AH619" s="170">
        <f t="shared" si="22"/>
        <v>23.987551097231872</v>
      </c>
    </row>
    <row r="620" spans="1:34" ht="21.75" customHeight="1" x14ac:dyDescent="0.2">
      <c r="A620" s="141"/>
      <c r="B620" s="515" t="s">
        <v>333</v>
      </c>
      <c r="C620" s="515"/>
      <c r="D620" s="515"/>
      <c r="E620" s="515"/>
      <c r="F620" s="515"/>
      <c r="G620" s="515"/>
      <c r="H620" s="515"/>
      <c r="I620" s="515"/>
      <c r="J620" s="515"/>
      <c r="K620" s="515"/>
      <c r="L620" s="515"/>
      <c r="M620" s="515"/>
      <c r="N620" s="143">
        <v>998</v>
      </c>
      <c r="O620" s="144">
        <v>1</v>
      </c>
      <c r="P620" s="144">
        <v>13</v>
      </c>
      <c r="Q620" s="145" t="s">
        <v>396</v>
      </c>
      <c r="R620" s="146" t="s">
        <v>39</v>
      </c>
      <c r="S620" s="500"/>
      <c r="T620" s="500"/>
      <c r="U620" s="164">
        <v>289.72500000000002</v>
      </c>
      <c r="V620" s="164">
        <v>0</v>
      </c>
      <c r="W620" s="164">
        <v>289.72500000000002</v>
      </c>
      <c r="X620" s="514"/>
      <c r="Y620" s="514"/>
      <c r="Z620" s="514"/>
      <c r="AA620" s="514"/>
      <c r="AB620" s="514"/>
      <c r="AC620" s="514"/>
      <c r="AD620" s="514"/>
      <c r="AE620" s="164"/>
      <c r="AF620" s="160"/>
      <c r="AG620" s="160">
        <v>69.49794</v>
      </c>
      <c r="AH620" s="170">
        <f t="shared" si="22"/>
        <v>23.987553714729483</v>
      </c>
    </row>
    <row r="621" spans="1:34" ht="32.25" customHeight="1" x14ac:dyDescent="0.2">
      <c r="A621" s="141"/>
      <c r="B621" s="515" t="s">
        <v>334</v>
      </c>
      <c r="C621" s="515"/>
      <c r="D621" s="515"/>
      <c r="E621" s="515"/>
      <c r="F621" s="515"/>
      <c r="G621" s="515"/>
      <c r="H621" s="515"/>
      <c r="I621" s="515"/>
      <c r="J621" s="515"/>
      <c r="K621" s="515"/>
      <c r="L621" s="515"/>
      <c r="M621" s="515"/>
      <c r="N621" s="143">
        <v>998</v>
      </c>
      <c r="O621" s="144">
        <v>1</v>
      </c>
      <c r="P621" s="144">
        <v>13</v>
      </c>
      <c r="Q621" s="145" t="s">
        <v>396</v>
      </c>
      <c r="R621" s="146" t="s">
        <v>41</v>
      </c>
      <c r="S621" s="500"/>
      <c r="T621" s="500"/>
      <c r="U621" s="164">
        <v>87.497</v>
      </c>
      <c r="V621" s="164">
        <v>0</v>
      </c>
      <c r="W621" s="164">
        <v>87.497</v>
      </c>
      <c r="X621" s="514"/>
      <c r="Y621" s="514"/>
      <c r="Z621" s="514"/>
      <c r="AA621" s="514"/>
      <c r="AB621" s="514"/>
      <c r="AC621" s="514"/>
      <c r="AD621" s="514"/>
      <c r="AE621" s="164"/>
      <c r="AF621" s="160"/>
      <c r="AG621" s="160">
        <v>20.988379999999999</v>
      </c>
      <c r="AH621" s="170">
        <f t="shared" si="22"/>
        <v>23.987542430026171</v>
      </c>
    </row>
    <row r="622" spans="1:34" ht="42.75" customHeight="1" x14ac:dyDescent="0.2">
      <c r="A622" s="141"/>
      <c r="B622" s="515" t="s">
        <v>365</v>
      </c>
      <c r="C622" s="515"/>
      <c r="D622" s="515"/>
      <c r="E622" s="515"/>
      <c r="F622" s="515"/>
      <c r="G622" s="515"/>
      <c r="H622" s="515"/>
      <c r="I622" s="515"/>
      <c r="J622" s="515"/>
      <c r="K622" s="515"/>
      <c r="L622" s="515"/>
      <c r="M622" s="515"/>
      <c r="N622" s="143">
        <v>998</v>
      </c>
      <c r="O622" s="144">
        <v>1</v>
      </c>
      <c r="P622" s="144">
        <v>13</v>
      </c>
      <c r="Q622" s="145" t="s">
        <v>366</v>
      </c>
      <c r="R622" s="146">
        <v>0</v>
      </c>
      <c r="S622" s="500"/>
      <c r="T622" s="500"/>
      <c r="U622" s="164">
        <v>3</v>
      </c>
      <c r="V622" s="164">
        <v>0</v>
      </c>
      <c r="W622" s="164">
        <v>3</v>
      </c>
      <c r="X622" s="514"/>
      <c r="Y622" s="514"/>
      <c r="Z622" s="514"/>
      <c r="AA622" s="514"/>
      <c r="AB622" s="514"/>
      <c r="AC622" s="514"/>
      <c r="AD622" s="514"/>
      <c r="AE622" s="164"/>
      <c r="AF622" s="160"/>
      <c r="AG622" s="160">
        <f>+AG623</f>
        <v>0.54800000000000004</v>
      </c>
      <c r="AH622" s="170">
        <f t="shared" si="22"/>
        <v>18.266666666666666</v>
      </c>
    </row>
    <row r="623" spans="1:34" ht="53.25" customHeight="1" x14ac:dyDescent="0.2">
      <c r="A623" s="141"/>
      <c r="B623" s="515" t="s">
        <v>17</v>
      </c>
      <c r="C623" s="515"/>
      <c r="D623" s="515"/>
      <c r="E623" s="515"/>
      <c r="F623" s="515"/>
      <c r="G623" s="515"/>
      <c r="H623" s="515"/>
      <c r="I623" s="515"/>
      <c r="J623" s="515"/>
      <c r="K623" s="515"/>
      <c r="L623" s="515"/>
      <c r="M623" s="515"/>
      <c r="N623" s="143">
        <v>998</v>
      </c>
      <c r="O623" s="144">
        <v>1</v>
      </c>
      <c r="P623" s="144">
        <v>13</v>
      </c>
      <c r="Q623" s="145" t="s">
        <v>366</v>
      </c>
      <c r="R623" s="146" t="s">
        <v>18</v>
      </c>
      <c r="S623" s="500"/>
      <c r="T623" s="500"/>
      <c r="U623" s="164">
        <v>3</v>
      </c>
      <c r="V623" s="164">
        <v>0</v>
      </c>
      <c r="W623" s="164">
        <v>3</v>
      </c>
      <c r="X623" s="514"/>
      <c r="Y623" s="514"/>
      <c r="Z623" s="514"/>
      <c r="AA623" s="514"/>
      <c r="AB623" s="514"/>
      <c r="AC623" s="514"/>
      <c r="AD623" s="514"/>
      <c r="AE623" s="164"/>
      <c r="AF623" s="160"/>
      <c r="AG623" s="160">
        <f>+AG624</f>
        <v>0.54800000000000004</v>
      </c>
      <c r="AH623" s="170">
        <f t="shared" si="22"/>
        <v>18.266666666666666</v>
      </c>
    </row>
    <row r="624" spans="1:34" ht="21.75" customHeight="1" x14ac:dyDescent="0.2">
      <c r="A624" s="141"/>
      <c r="B624" s="515" t="s">
        <v>37</v>
      </c>
      <c r="C624" s="515"/>
      <c r="D624" s="515"/>
      <c r="E624" s="515"/>
      <c r="F624" s="515"/>
      <c r="G624" s="515"/>
      <c r="H624" s="515"/>
      <c r="I624" s="515"/>
      <c r="J624" s="515"/>
      <c r="K624" s="515"/>
      <c r="L624" s="515"/>
      <c r="M624" s="515"/>
      <c r="N624" s="143">
        <v>998</v>
      </c>
      <c r="O624" s="144">
        <v>1</v>
      </c>
      <c r="P624" s="144">
        <v>13</v>
      </c>
      <c r="Q624" s="145" t="s">
        <v>366</v>
      </c>
      <c r="R624" s="146" t="s">
        <v>38</v>
      </c>
      <c r="S624" s="500"/>
      <c r="T624" s="500"/>
      <c r="U624" s="164">
        <v>3</v>
      </c>
      <c r="V624" s="164">
        <v>0</v>
      </c>
      <c r="W624" s="164">
        <v>3</v>
      </c>
      <c r="X624" s="514"/>
      <c r="Y624" s="514"/>
      <c r="Z624" s="514"/>
      <c r="AA624" s="514"/>
      <c r="AB624" s="514"/>
      <c r="AC624" s="514"/>
      <c r="AD624" s="514"/>
      <c r="AE624" s="164"/>
      <c r="AF624" s="160"/>
      <c r="AG624" s="160">
        <f>+AG625</f>
        <v>0.54800000000000004</v>
      </c>
      <c r="AH624" s="170">
        <f t="shared" si="22"/>
        <v>18.266666666666666</v>
      </c>
    </row>
    <row r="625" spans="1:34" ht="32.25" customHeight="1" x14ac:dyDescent="0.2">
      <c r="A625" s="141"/>
      <c r="B625" s="515" t="s">
        <v>351</v>
      </c>
      <c r="C625" s="515"/>
      <c r="D625" s="515"/>
      <c r="E625" s="515"/>
      <c r="F625" s="515"/>
      <c r="G625" s="515"/>
      <c r="H625" s="515"/>
      <c r="I625" s="515"/>
      <c r="J625" s="515"/>
      <c r="K625" s="515"/>
      <c r="L625" s="515"/>
      <c r="M625" s="515"/>
      <c r="N625" s="143">
        <v>998</v>
      </c>
      <c r="O625" s="144">
        <v>1</v>
      </c>
      <c r="P625" s="144">
        <v>13</v>
      </c>
      <c r="Q625" s="145" t="s">
        <v>366</v>
      </c>
      <c r="R625" s="146" t="s">
        <v>40</v>
      </c>
      <c r="S625" s="500"/>
      <c r="T625" s="500"/>
      <c r="U625" s="164">
        <v>3</v>
      </c>
      <c r="V625" s="164">
        <v>0</v>
      </c>
      <c r="W625" s="164">
        <v>3</v>
      </c>
      <c r="X625" s="514"/>
      <c r="Y625" s="514"/>
      <c r="Z625" s="514"/>
      <c r="AA625" s="514"/>
      <c r="AB625" s="514"/>
      <c r="AC625" s="514"/>
      <c r="AD625" s="514"/>
      <c r="AE625" s="164"/>
      <c r="AF625" s="160"/>
      <c r="AG625" s="160">
        <v>0.54800000000000004</v>
      </c>
      <c r="AH625" s="170">
        <f t="shared" si="22"/>
        <v>18.266666666666666</v>
      </c>
    </row>
    <row r="626" spans="1:34" ht="32.25" customHeight="1" x14ac:dyDescent="0.2">
      <c r="A626" s="141"/>
      <c r="B626" s="515" t="s">
        <v>357</v>
      </c>
      <c r="C626" s="515"/>
      <c r="D626" s="515"/>
      <c r="E626" s="515"/>
      <c r="F626" s="515"/>
      <c r="G626" s="515"/>
      <c r="H626" s="515"/>
      <c r="I626" s="515"/>
      <c r="J626" s="515"/>
      <c r="K626" s="515"/>
      <c r="L626" s="515"/>
      <c r="M626" s="515"/>
      <c r="N626" s="143">
        <v>998</v>
      </c>
      <c r="O626" s="144">
        <v>1</v>
      </c>
      <c r="P626" s="144">
        <v>13</v>
      </c>
      <c r="Q626" s="145" t="s">
        <v>358</v>
      </c>
      <c r="R626" s="146">
        <v>0</v>
      </c>
      <c r="S626" s="500"/>
      <c r="T626" s="500"/>
      <c r="U626" s="164">
        <v>5</v>
      </c>
      <c r="V626" s="164">
        <v>0</v>
      </c>
      <c r="W626" s="164">
        <v>5</v>
      </c>
      <c r="X626" s="514"/>
      <c r="Y626" s="514"/>
      <c r="Z626" s="514"/>
      <c r="AA626" s="514"/>
      <c r="AB626" s="514"/>
      <c r="AC626" s="514"/>
      <c r="AD626" s="514"/>
      <c r="AE626" s="164"/>
      <c r="AF626" s="160"/>
      <c r="AG626" s="160">
        <f>+AG627</f>
        <v>0</v>
      </c>
      <c r="AH626" s="170">
        <f t="shared" si="22"/>
        <v>0</v>
      </c>
    </row>
    <row r="627" spans="1:34" ht="32.25" customHeight="1" x14ac:dyDescent="0.2">
      <c r="A627" s="141"/>
      <c r="B627" s="515" t="s">
        <v>397</v>
      </c>
      <c r="C627" s="515"/>
      <c r="D627" s="515"/>
      <c r="E627" s="515"/>
      <c r="F627" s="515"/>
      <c r="G627" s="515"/>
      <c r="H627" s="515"/>
      <c r="I627" s="515"/>
      <c r="J627" s="515"/>
      <c r="K627" s="515"/>
      <c r="L627" s="515"/>
      <c r="M627" s="515"/>
      <c r="N627" s="143">
        <v>998</v>
      </c>
      <c r="O627" s="144">
        <v>1</v>
      </c>
      <c r="P627" s="144">
        <v>13</v>
      </c>
      <c r="Q627" s="145" t="s">
        <v>398</v>
      </c>
      <c r="R627" s="146">
        <v>0</v>
      </c>
      <c r="S627" s="500"/>
      <c r="T627" s="500"/>
      <c r="U627" s="164">
        <v>5</v>
      </c>
      <c r="V627" s="164">
        <v>0</v>
      </c>
      <c r="W627" s="164">
        <v>5</v>
      </c>
      <c r="X627" s="514"/>
      <c r="Y627" s="514"/>
      <c r="Z627" s="514"/>
      <c r="AA627" s="514"/>
      <c r="AB627" s="514"/>
      <c r="AC627" s="514"/>
      <c r="AD627" s="514"/>
      <c r="AE627" s="164"/>
      <c r="AF627" s="160"/>
      <c r="AG627" s="160">
        <f>+AG628</f>
        <v>0</v>
      </c>
      <c r="AH627" s="170">
        <f t="shared" si="22"/>
        <v>0</v>
      </c>
    </row>
    <row r="628" spans="1:34" ht="12" customHeight="1" x14ac:dyDescent="0.2">
      <c r="A628" s="141"/>
      <c r="B628" s="515" t="s">
        <v>61</v>
      </c>
      <c r="C628" s="515"/>
      <c r="D628" s="515"/>
      <c r="E628" s="515"/>
      <c r="F628" s="515"/>
      <c r="G628" s="515"/>
      <c r="H628" s="515"/>
      <c r="I628" s="515"/>
      <c r="J628" s="515"/>
      <c r="K628" s="515"/>
      <c r="L628" s="515"/>
      <c r="M628" s="515"/>
      <c r="N628" s="143">
        <v>998</v>
      </c>
      <c r="O628" s="144">
        <v>1</v>
      </c>
      <c r="P628" s="144">
        <v>13</v>
      </c>
      <c r="Q628" s="145" t="s">
        <v>398</v>
      </c>
      <c r="R628" s="146" t="s">
        <v>103</v>
      </c>
      <c r="S628" s="500"/>
      <c r="T628" s="500"/>
      <c r="U628" s="164">
        <v>5</v>
      </c>
      <c r="V628" s="164">
        <v>0</v>
      </c>
      <c r="W628" s="164">
        <v>5</v>
      </c>
      <c r="X628" s="514"/>
      <c r="Y628" s="514"/>
      <c r="Z628" s="514"/>
      <c r="AA628" s="514"/>
      <c r="AB628" s="514"/>
      <c r="AC628" s="514"/>
      <c r="AD628" s="514"/>
      <c r="AE628" s="164"/>
      <c r="AF628" s="160"/>
      <c r="AG628" s="160">
        <f>+AG629</f>
        <v>0</v>
      </c>
      <c r="AH628" s="170">
        <f t="shared" si="22"/>
        <v>0</v>
      </c>
    </row>
    <row r="629" spans="1:34" ht="12" customHeight="1" x14ac:dyDescent="0.2">
      <c r="A629" s="141"/>
      <c r="B629" s="515" t="s">
        <v>104</v>
      </c>
      <c r="C629" s="515"/>
      <c r="D629" s="515"/>
      <c r="E629" s="515"/>
      <c r="F629" s="515"/>
      <c r="G629" s="515"/>
      <c r="H629" s="515"/>
      <c r="I629" s="515"/>
      <c r="J629" s="515"/>
      <c r="K629" s="515"/>
      <c r="L629" s="515"/>
      <c r="M629" s="515"/>
      <c r="N629" s="143">
        <v>998</v>
      </c>
      <c r="O629" s="144">
        <v>1</v>
      </c>
      <c r="P629" s="144">
        <v>13</v>
      </c>
      <c r="Q629" s="145" t="s">
        <v>398</v>
      </c>
      <c r="R629" s="146" t="s">
        <v>105</v>
      </c>
      <c r="S629" s="500"/>
      <c r="T629" s="500"/>
      <c r="U629" s="164">
        <v>5</v>
      </c>
      <c r="V629" s="164">
        <v>0</v>
      </c>
      <c r="W629" s="164">
        <v>5</v>
      </c>
      <c r="X629" s="514"/>
      <c r="Y629" s="514"/>
      <c r="Z629" s="514"/>
      <c r="AA629" s="514"/>
      <c r="AB629" s="514"/>
      <c r="AC629" s="514"/>
      <c r="AD629" s="514"/>
      <c r="AE629" s="164"/>
      <c r="AF629" s="160"/>
      <c r="AG629" s="160"/>
      <c r="AH629" s="170">
        <f t="shared" si="22"/>
        <v>0</v>
      </c>
    </row>
    <row r="630" spans="1:34" ht="12" customHeight="1" x14ac:dyDescent="0.2">
      <c r="A630" s="141"/>
      <c r="B630" s="515" t="s">
        <v>401</v>
      </c>
      <c r="C630" s="515"/>
      <c r="D630" s="515"/>
      <c r="E630" s="515"/>
      <c r="F630" s="515"/>
      <c r="G630" s="515"/>
      <c r="H630" s="515"/>
      <c r="I630" s="515"/>
      <c r="J630" s="515"/>
      <c r="K630" s="515"/>
      <c r="L630" s="515"/>
      <c r="M630" s="515"/>
      <c r="N630" s="143">
        <v>998</v>
      </c>
      <c r="O630" s="144">
        <v>2</v>
      </c>
      <c r="P630" s="144">
        <v>0</v>
      </c>
      <c r="Q630" s="145">
        <v>0</v>
      </c>
      <c r="R630" s="146">
        <v>0</v>
      </c>
      <c r="S630" s="500"/>
      <c r="T630" s="500"/>
      <c r="U630" s="164">
        <v>706.7</v>
      </c>
      <c r="V630" s="164">
        <v>0</v>
      </c>
      <c r="W630" s="164">
        <v>706.7</v>
      </c>
      <c r="X630" s="514"/>
      <c r="Y630" s="514"/>
      <c r="Z630" s="514"/>
      <c r="AA630" s="514"/>
      <c r="AB630" s="514"/>
      <c r="AC630" s="514"/>
      <c r="AD630" s="514"/>
      <c r="AE630" s="164"/>
      <c r="AF630" s="160"/>
      <c r="AG630" s="160">
        <f>+AG631</f>
        <v>176.67599999999999</v>
      </c>
      <c r="AH630" s="170">
        <f t="shared" si="22"/>
        <v>25.000141502759298</v>
      </c>
    </row>
    <row r="631" spans="1:34" ht="12" customHeight="1" x14ac:dyDescent="0.2">
      <c r="A631" s="141"/>
      <c r="B631" s="515" t="s">
        <v>89</v>
      </c>
      <c r="C631" s="515"/>
      <c r="D631" s="515"/>
      <c r="E631" s="515"/>
      <c r="F631" s="515"/>
      <c r="G631" s="515"/>
      <c r="H631" s="515"/>
      <c r="I631" s="515"/>
      <c r="J631" s="515"/>
      <c r="K631" s="515"/>
      <c r="L631" s="515"/>
      <c r="M631" s="515"/>
      <c r="N631" s="143">
        <v>998</v>
      </c>
      <c r="O631" s="144">
        <v>2</v>
      </c>
      <c r="P631" s="144">
        <v>3</v>
      </c>
      <c r="Q631" s="145">
        <v>0</v>
      </c>
      <c r="R631" s="146">
        <v>0</v>
      </c>
      <c r="S631" s="500"/>
      <c r="T631" s="500"/>
      <c r="U631" s="164">
        <v>706.7</v>
      </c>
      <c r="V631" s="164">
        <v>0</v>
      </c>
      <c r="W631" s="164">
        <v>706.7</v>
      </c>
      <c r="X631" s="514"/>
      <c r="Y631" s="514"/>
      <c r="Z631" s="514"/>
      <c r="AA631" s="514"/>
      <c r="AB631" s="514"/>
      <c r="AC631" s="514"/>
      <c r="AD631" s="514"/>
      <c r="AE631" s="164"/>
      <c r="AF631" s="160"/>
      <c r="AG631" s="160">
        <f>+AG632</f>
        <v>176.67599999999999</v>
      </c>
      <c r="AH631" s="170">
        <f t="shared" si="22"/>
        <v>25.000141502759298</v>
      </c>
    </row>
    <row r="632" spans="1:34" ht="32.25" customHeight="1" x14ac:dyDescent="0.2">
      <c r="A632" s="141"/>
      <c r="B632" s="515" t="s">
        <v>357</v>
      </c>
      <c r="C632" s="515"/>
      <c r="D632" s="515"/>
      <c r="E632" s="515"/>
      <c r="F632" s="515"/>
      <c r="G632" s="515"/>
      <c r="H632" s="515"/>
      <c r="I632" s="515"/>
      <c r="J632" s="515"/>
      <c r="K632" s="515"/>
      <c r="L632" s="515"/>
      <c r="M632" s="515"/>
      <c r="N632" s="143">
        <v>998</v>
      </c>
      <c r="O632" s="144">
        <v>2</v>
      </c>
      <c r="P632" s="144">
        <v>3</v>
      </c>
      <c r="Q632" s="145" t="s">
        <v>358</v>
      </c>
      <c r="R632" s="146">
        <v>0</v>
      </c>
      <c r="S632" s="500"/>
      <c r="T632" s="500"/>
      <c r="U632" s="164">
        <v>706.7</v>
      </c>
      <c r="V632" s="164">
        <v>0</v>
      </c>
      <c r="W632" s="164">
        <v>706.7</v>
      </c>
      <c r="X632" s="514"/>
      <c r="Y632" s="514"/>
      <c r="Z632" s="514"/>
      <c r="AA632" s="514"/>
      <c r="AB632" s="514"/>
      <c r="AC632" s="514"/>
      <c r="AD632" s="514"/>
      <c r="AE632" s="164"/>
      <c r="AF632" s="160"/>
      <c r="AG632" s="160">
        <f>+AG633</f>
        <v>176.67599999999999</v>
      </c>
      <c r="AH632" s="170">
        <f t="shared" si="22"/>
        <v>25.000141502759298</v>
      </c>
    </row>
    <row r="633" spans="1:34" ht="32.25" customHeight="1" x14ac:dyDescent="0.2">
      <c r="A633" s="141"/>
      <c r="B633" s="515" t="s">
        <v>402</v>
      </c>
      <c r="C633" s="515"/>
      <c r="D633" s="515"/>
      <c r="E633" s="515"/>
      <c r="F633" s="515"/>
      <c r="G633" s="515"/>
      <c r="H633" s="515"/>
      <c r="I633" s="515"/>
      <c r="J633" s="515"/>
      <c r="K633" s="515"/>
      <c r="L633" s="515"/>
      <c r="M633" s="515"/>
      <c r="N633" s="143">
        <v>998</v>
      </c>
      <c r="O633" s="144">
        <v>2</v>
      </c>
      <c r="P633" s="144">
        <v>3</v>
      </c>
      <c r="Q633" s="145" t="s">
        <v>403</v>
      </c>
      <c r="R633" s="146">
        <v>0</v>
      </c>
      <c r="S633" s="500"/>
      <c r="T633" s="500"/>
      <c r="U633" s="164">
        <v>706.7</v>
      </c>
      <c r="V633" s="164">
        <v>0</v>
      </c>
      <c r="W633" s="164">
        <v>706.7</v>
      </c>
      <c r="X633" s="514"/>
      <c r="Y633" s="514"/>
      <c r="Z633" s="514"/>
      <c r="AA633" s="514"/>
      <c r="AB633" s="514"/>
      <c r="AC633" s="514"/>
      <c r="AD633" s="514"/>
      <c r="AE633" s="164"/>
      <c r="AF633" s="160"/>
      <c r="AG633" s="160">
        <f>+AG634</f>
        <v>176.67599999999999</v>
      </c>
      <c r="AH633" s="170">
        <f t="shared" si="22"/>
        <v>25.000141502759298</v>
      </c>
    </row>
    <row r="634" spans="1:34" ht="12" customHeight="1" x14ac:dyDescent="0.2">
      <c r="A634" s="141"/>
      <c r="B634" s="515" t="s">
        <v>61</v>
      </c>
      <c r="C634" s="515"/>
      <c r="D634" s="515"/>
      <c r="E634" s="515"/>
      <c r="F634" s="515"/>
      <c r="G634" s="515"/>
      <c r="H634" s="515"/>
      <c r="I634" s="515"/>
      <c r="J634" s="515"/>
      <c r="K634" s="515"/>
      <c r="L634" s="515"/>
      <c r="M634" s="515"/>
      <c r="N634" s="143">
        <v>998</v>
      </c>
      <c r="O634" s="144">
        <v>2</v>
      </c>
      <c r="P634" s="144">
        <v>3</v>
      </c>
      <c r="Q634" s="145" t="s">
        <v>403</v>
      </c>
      <c r="R634" s="146" t="s">
        <v>103</v>
      </c>
      <c r="S634" s="500"/>
      <c r="T634" s="500"/>
      <c r="U634" s="164">
        <v>706.7</v>
      </c>
      <c r="V634" s="164">
        <v>0</v>
      </c>
      <c r="W634" s="164">
        <v>706.7</v>
      </c>
      <c r="X634" s="514"/>
      <c r="Y634" s="514"/>
      <c r="Z634" s="514"/>
      <c r="AA634" s="514"/>
      <c r="AB634" s="514"/>
      <c r="AC634" s="514"/>
      <c r="AD634" s="514"/>
      <c r="AE634" s="164"/>
      <c r="AF634" s="160"/>
      <c r="AG634" s="160">
        <f>+AG635</f>
        <v>176.67599999999999</v>
      </c>
      <c r="AH634" s="170">
        <f t="shared" si="22"/>
        <v>25.000141502759298</v>
      </c>
    </row>
    <row r="635" spans="1:34" ht="12" customHeight="1" x14ac:dyDescent="0.2">
      <c r="A635" s="141"/>
      <c r="B635" s="515" t="s">
        <v>104</v>
      </c>
      <c r="C635" s="515"/>
      <c r="D635" s="515"/>
      <c r="E635" s="515"/>
      <c r="F635" s="515"/>
      <c r="G635" s="515"/>
      <c r="H635" s="515"/>
      <c r="I635" s="515"/>
      <c r="J635" s="515"/>
      <c r="K635" s="515"/>
      <c r="L635" s="515"/>
      <c r="M635" s="515"/>
      <c r="N635" s="143">
        <v>998</v>
      </c>
      <c r="O635" s="144">
        <v>2</v>
      </c>
      <c r="P635" s="144">
        <v>3</v>
      </c>
      <c r="Q635" s="145" t="s">
        <v>403</v>
      </c>
      <c r="R635" s="146" t="s">
        <v>105</v>
      </c>
      <c r="S635" s="500"/>
      <c r="T635" s="500"/>
      <c r="U635" s="164">
        <v>706.7</v>
      </c>
      <c r="V635" s="164">
        <v>0</v>
      </c>
      <c r="W635" s="164">
        <v>706.7</v>
      </c>
      <c r="X635" s="514"/>
      <c r="Y635" s="514"/>
      <c r="Z635" s="514"/>
      <c r="AA635" s="514"/>
      <c r="AB635" s="514"/>
      <c r="AC635" s="514"/>
      <c r="AD635" s="514"/>
      <c r="AE635" s="164"/>
      <c r="AF635" s="160"/>
      <c r="AG635" s="160">
        <v>176.67599999999999</v>
      </c>
      <c r="AH635" s="170">
        <f t="shared" si="22"/>
        <v>25.000141502759298</v>
      </c>
    </row>
    <row r="636" spans="1:34" ht="32.25" customHeight="1" x14ac:dyDescent="0.2">
      <c r="A636" s="141"/>
      <c r="B636" s="515" t="s">
        <v>514</v>
      </c>
      <c r="C636" s="515"/>
      <c r="D636" s="515"/>
      <c r="E636" s="515"/>
      <c r="F636" s="515"/>
      <c r="G636" s="515"/>
      <c r="H636" s="515"/>
      <c r="I636" s="515"/>
      <c r="J636" s="515"/>
      <c r="K636" s="515"/>
      <c r="L636" s="515"/>
      <c r="M636" s="515"/>
      <c r="N636" s="143">
        <v>998</v>
      </c>
      <c r="O636" s="144">
        <v>14</v>
      </c>
      <c r="P636" s="144">
        <v>0</v>
      </c>
      <c r="Q636" s="145">
        <v>0</v>
      </c>
      <c r="R636" s="146">
        <v>0</v>
      </c>
      <c r="S636" s="500"/>
      <c r="T636" s="500"/>
      <c r="U636" s="164">
        <v>16896.687000000002</v>
      </c>
      <c r="V636" s="164">
        <v>0</v>
      </c>
      <c r="W636" s="164">
        <v>16896.687000000002</v>
      </c>
      <c r="X636" s="514"/>
      <c r="Y636" s="514"/>
      <c r="Z636" s="514"/>
      <c r="AA636" s="514"/>
      <c r="AB636" s="514"/>
      <c r="AC636" s="514"/>
      <c r="AD636" s="514"/>
      <c r="AE636" s="164"/>
      <c r="AF636" s="160"/>
      <c r="AG636" s="160">
        <f>AG637+AG643+AG649</f>
        <v>4348.92778</v>
      </c>
      <c r="AH636" s="170">
        <f t="shared" si="22"/>
        <v>25.738346102996402</v>
      </c>
    </row>
    <row r="637" spans="1:34" ht="32.25" customHeight="1" x14ac:dyDescent="0.2">
      <c r="A637" s="141"/>
      <c r="B637" s="515" t="s">
        <v>106</v>
      </c>
      <c r="C637" s="515"/>
      <c r="D637" s="515"/>
      <c r="E637" s="515"/>
      <c r="F637" s="515"/>
      <c r="G637" s="515"/>
      <c r="H637" s="515"/>
      <c r="I637" s="515"/>
      <c r="J637" s="515"/>
      <c r="K637" s="515"/>
      <c r="L637" s="515"/>
      <c r="M637" s="515"/>
      <c r="N637" s="143">
        <v>998</v>
      </c>
      <c r="O637" s="144">
        <v>14</v>
      </c>
      <c r="P637" s="144">
        <v>1</v>
      </c>
      <c r="Q637" s="145">
        <v>0</v>
      </c>
      <c r="R637" s="146">
        <v>0</v>
      </c>
      <c r="S637" s="500"/>
      <c r="T637" s="500"/>
      <c r="U637" s="164">
        <v>14844.97</v>
      </c>
      <c r="V637" s="164">
        <v>0</v>
      </c>
      <c r="W637" s="164">
        <v>14844.97</v>
      </c>
      <c r="X637" s="514"/>
      <c r="Y637" s="514"/>
      <c r="Z637" s="514"/>
      <c r="AA637" s="514"/>
      <c r="AB637" s="514"/>
      <c r="AC637" s="514"/>
      <c r="AD637" s="514"/>
      <c r="AE637" s="164"/>
      <c r="AF637" s="160"/>
      <c r="AG637" s="160">
        <f>+AG638</f>
        <v>4170.0818499999996</v>
      </c>
      <c r="AH637" s="170">
        <f t="shared" si="22"/>
        <v>28.090874215306599</v>
      </c>
    </row>
    <row r="638" spans="1:34" ht="21.75" customHeight="1" x14ac:dyDescent="0.2">
      <c r="A638" s="141"/>
      <c r="B638" s="515" t="s">
        <v>379</v>
      </c>
      <c r="C638" s="515"/>
      <c r="D638" s="515"/>
      <c r="E638" s="515"/>
      <c r="F638" s="515"/>
      <c r="G638" s="515"/>
      <c r="H638" s="515"/>
      <c r="I638" s="515"/>
      <c r="J638" s="515"/>
      <c r="K638" s="515"/>
      <c r="L638" s="515"/>
      <c r="M638" s="515"/>
      <c r="N638" s="143">
        <v>998</v>
      </c>
      <c r="O638" s="144">
        <v>14</v>
      </c>
      <c r="P638" s="144">
        <v>1</v>
      </c>
      <c r="Q638" s="145" t="s">
        <v>380</v>
      </c>
      <c r="R638" s="146">
        <v>0</v>
      </c>
      <c r="S638" s="500"/>
      <c r="T638" s="500"/>
      <c r="U638" s="164">
        <v>14844.97</v>
      </c>
      <c r="V638" s="164">
        <v>0</v>
      </c>
      <c r="W638" s="164">
        <v>14844.97</v>
      </c>
      <c r="X638" s="514"/>
      <c r="Y638" s="514"/>
      <c r="Z638" s="514"/>
      <c r="AA638" s="514"/>
      <c r="AB638" s="514"/>
      <c r="AC638" s="514"/>
      <c r="AD638" s="514"/>
      <c r="AE638" s="164"/>
      <c r="AF638" s="160"/>
      <c r="AG638" s="160">
        <f>+AG639</f>
        <v>4170.0818499999996</v>
      </c>
      <c r="AH638" s="170">
        <f t="shared" si="22"/>
        <v>28.090874215306599</v>
      </c>
    </row>
    <row r="639" spans="1:34" ht="12" customHeight="1" x14ac:dyDescent="0.2">
      <c r="A639" s="141"/>
      <c r="B639" s="515" t="s">
        <v>515</v>
      </c>
      <c r="C639" s="515"/>
      <c r="D639" s="515"/>
      <c r="E639" s="515"/>
      <c r="F639" s="515"/>
      <c r="G639" s="515"/>
      <c r="H639" s="515"/>
      <c r="I639" s="515"/>
      <c r="J639" s="515"/>
      <c r="K639" s="515"/>
      <c r="L639" s="515"/>
      <c r="M639" s="515"/>
      <c r="N639" s="143">
        <v>998</v>
      </c>
      <c r="O639" s="144">
        <v>14</v>
      </c>
      <c r="P639" s="144">
        <v>1</v>
      </c>
      <c r="Q639" s="145" t="s">
        <v>516</v>
      </c>
      <c r="R639" s="146">
        <v>0</v>
      </c>
      <c r="S639" s="500"/>
      <c r="T639" s="500"/>
      <c r="U639" s="164">
        <v>14844.97</v>
      </c>
      <c r="V639" s="164">
        <v>0</v>
      </c>
      <c r="W639" s="164">
        <v>14844.97</v>
      </c>
      <c r="X639" s="514"/>
      <c r="Y639" s="514"/>
      <c r="Z639" s="514"/>
      <c r="AA639" s="514"/>
      <c r="AB639" s="514"/>
      <c r="AC639" s="514"/>
      <c r="AD639" s="514"/>
      <c r="AE639" s="164"/>
      <c r="AF639" s="160"/>
      <c r="AG639" s="160">
        <f>+AG640</f>
        <v>4170.0818499999996</v>
      </c>
      <c r="AH639" s="170">
        <f t="shared" si="22"/>
        <v>28.090874215306599</v>
      </c>
    </row>
    <row r="640" spans="1:34" ht="12" customHeight="1" x14ac:dyDescent="0.2">
      <c r="A640" s="141"/>
      <c r="B640" s="515" t="s">
        <v>61</v>
      </c>
      <c r="C640" s="515"/>
      <c r="D640" s="515"/>
      <c r="E640" s="515"/>
      <c r="F640" s="515"/>
      <c r="G640" s="515"/>
      <c r="H640" s="515"/>
      <c r="I640" s="515"/>
      <c r="J640" s="515"/>
      <c r="K640" s="515"/>
      <c r="L640" s="515"/>
      <c r="M640" s="515"/>
      <c r="N640" s="143">
        <v>998</v>
      </c>
      <c r="O640" s="144">
        <v>14</v>
      </c>
      <c r="P640" s="144">
        <v>1</v>
      </c>
      <c r="Q640" s="145" t="s">
        <v>516</v>
      </c>
      <c r="R640" s="146" t="s">
        <v>103</v>
      </c>
      <c r="S640" s="500"/>
      <c r="T640" s="500"/>
      <c r="U640" s="164">
        <v>14844.97</v>
      </c>
      <c r="V640" s="164">
        <v>0</v>
      </c>
      <c r="W640" s="164">
        <v>14844.97</v>
      </c>
      <c r="X640" s="514"/>
      <c r="Y640" s="514"/>
      <c r="Z640" s="514"/>
      <c r="AA640" s="514"/>
      <c r="AB640" s="514"/>
      <c r="AC640" s="514"/>
      <c r="AD640" s="514"/>
      <c r="AE640" s="164"/>
      <c r="AF640" s="160"/>
      <c r="AG640" s="160">
        <f>+AG641</f>
        <v>4170.0818499999996</v>
      </c>
      <c r="AH640" s="170">
        <f t="shared" si="22"/>
        <v>28.090874215306599</v>
      </c>
    </row>
    <row r="641" spans="1:34" ht="12" customHeight="1" x14ac:dyDescent="0.2">
      <c r="A641" s="141"/>
      <c r="B641" s="515" t="s">
        <v>107</v>
      </c>
      <c r="C641" s="515"/>
      <c r="D641" s="515"/>
      <c r="E641" s="515"/>
      <c r="F641" s="515"/>
      <c r="G641" s="515"/>
      <c r="H641" s="515"/>
      <c r="I641" s="515"/>
      <c r="J641" s="515"/>
      <c r="K641" s="515"/>
      <c r="L641" s="515"/>
      <c r="M641" s="515"/>
      <c r="N641" s="143">
        <v>998</v>
      </c>
      <c r="O641" s="144">
        <v>14</v>
      </c>
      <c r="P641" s="144">
        <v>1</v>
      </c>
      <c r="Q641" s="145" t="s">
        <v>516</v>
      </c>
      <c r="R641" s="146" t="s">
        <v>108</v>
      </c>
      <c r="S641" s="500"/>
      <c r="T641" s="500"/>
      <c r="U641" s="164">
        <v>14844.97</v>
      </c>
      <c r="V641" s="164">
        <v>0</v>
      </c>
      <c r="W641" s="164">
        <v>14844.97</v>
      </c>
      <c r="X641" s="514"/>
      <c r="Y641" s="514"/>
      <c r="Z641" s="514"/>
      <c r="AA641" s="514"/>
      <c r="AB641" s="514"/>
      <c r="AC641" s="514"/>
      <c r="AD641" s="514"/>
      <c r="AE641" s="164"/>
      <c r="AF641" s="160"/>
      <c r="AG641" s="160">
        <f>+AG642</f>
        <v>4170.0818499999996</v>
      </c>
      <c r="AH641" s="170">
        <f t="shared" si="22"/>
        <v>28.090874215306599</v>
      </c>
    </row>
    <row r="642" spans="1:34" ht="12" customHeight="1" x14ac:dyDescent="0.2">
      <c r="A642" s="141"/>
      <c r="B642" s="515" t="s">
        <v>515</v>
      </c>
      <c r="C642" s="515"/>
      <c r="D642" s="515"/>
      <c r="E642" s="515"/>
      <c r="F642" s="515"/>
      <c r="G642" s="515"/>
      <c r="H642" s="515"/>
      <c r="I642" s="515"/>
      <c r="J642" s="515"/>
      <c r="K642" s="515"/>
      <c r="L642" s="515"/>
      <c r="M642" s="515"/>
      <c r="N642" s="143">
        <v>998</v>
      </c>
      <c r="O642" s="144">
        <v>14</v>
      </c>
      <c r="P642" s="144">
        <v>1</v>
      </c>
      <c r="Q642" s="145" t="s">
        <v>516</v>
      </c>
      <c r="R642" s="146" t="s">
        <v>109</v>
      </c>
      <c r="S642" s="500"/>
      <c r="T642" s="500"/>
      <c r="U642" s="164">
        <v>14844.97</v>
      </c>
      <c r="V642" s="164">
        <v>0</v>
      </c>
      <c r="W642" s="164">
        <v>14844.97</v>
      </c>
      <c r="X642" s="514"/>
      <c r="Y642" s="514"/>
      <c r="Z642" s="514"/>
      <c r="AA642" s="514"/>
      <c r="AB642" s="514"/>
      <c r="AC642" s="514"/>
      <c r="AD642" s="514"/>
      <c r="AE642" s="164"/>
      <c r="AF642" s="160"/>
      <c r="AG642" s="160">
        <v>4170.0818499999996</v>
      </c>
      <c r="AH642" s="170">
        <f t="shared" si="22"/>
        <v>28.090874215306599</v>
      </c>
    </row>
    <row r="643" spans="1:34" ht="12" customHeight="1" x14ac:dyDescent="0.2">
      <c r="A643" s="141"/>
      <c r="B643" s="515" t="s">
        <v>578</v>
      </c>
      <c r="C643" s="515"/>
      <c r="D643" s="515"/>
      <c r="E643" s="515"/>
      <c r="F643" s="515"/>
      <c r="G643" s="515"/>
      <c r="H643" s="515"/>
      <c r="I643" s="515"/>
      <c r="J643" s="515"/>
      <c r="K643" s="515"/>
      <c r="L643" s="515"/>
      <c r="M643" s="515"/>
      <c r="N643" s="143">
        <v>998</v>
      </c>
      <c r="O643" s="144">
        <v>14</v>
      </c>
      <c r="P643" s="144">
        <v>2</v>
      </c>
      <c r="Q643" s="145">
        <v>0</v>
      </c>
      <c r="R643" s="146">
        <v>0</v>
      </c>
      <c r="S643" s="500"/>
      <c r="T643" s="500"/>
      <c r="U643" s="164">
        <v>932.2</v>
      </c>
      <c r="V643" s="164">
        <v>0</v>
      </c>
      <c r="W643" s="164">
        <v>932.2</v>
      </c>
      <c r="X643" s="514"/>
      <c r="Y643" s="514"/>
      <c r="Z643" s="514"/>
      <c r="AA643" s="514"/>
      <c r="AB643" s="514"/>
      <c r="AC643" s="514"/>
      <c r="AD643" s="514"/>
      <c r="AE643" s="164"/>
      <c r="AF643" s="160"/>
      <c r="AG643" s="160">
        <f>+AG644</f>
        <v>0</v>
      </c>
      <c r="AH643" s="170">
        <f t="shared" si="22"/>
        <v>0</v>
      </c>
    </row>
    <row r="644" spans="1:34" ht="21.75" customHeight="1" x14ac:dyDescent="0.2">
      <c r="A644" s="141"/>
      <c r="B644" s="515" t="s">
        <v>379</v>
      </c>
      <c r="C644" s="515"/>
      <c r="D644" s="515"/>
      <c r="E644" s="515"/>
      <c r="F644" s="515"/>
      <c r="G644" s="515"/>
      <c r="H644" s="515"/>
      <c r="I644" s="515"/>
      <c r="J644" s="515"/>
      <c r="K644" s="515"/>
      <c r="L644" s="515"/>
      <c r="M644" s="515"/>
      <c r="N644" s="143">
        <v>998</v>
      </c>
      <c r="O644" s="144">
        <v>14</v>
      </c>
      <c r="P644" s="144">
        <v>2</v>
      </c>
      <c r="Q644" s="145" t="s">
        <v>380</v>
      </c>
      <c r="R644" s="146">
        <v>0</v>
      </c>
      <c r="S644" s="500"/>
      <c r="T644" s="500"/>
      <c r="U644" s="164">
        <v>932.2</v>
      </c>
      <c r="V644" s="164">
        <v>0</v>
      </c>
      <c r="W644" s="164">
        <v>932.2</v>
      </c>
      <c r="X644" s="514"/>
      <c r="Y644" s="514"/>
      <c r="Z644" s="514"/>
      <c r="AA644" s="514"/>
      <c r="AB644" s="514"/>
      <c r="AC644" s="514"/>
      <c r="AD644" s="514"/>
      <c r="AE644" s="164"/>
      <c r="AF644" s="160"/>
      <c r="AG644" s="160">
        <f>+AG645</f>
        <v>0</v>
      </c>
      <c r="AH644" s="170">
        <f t="shared" si="22"/>
        <v>0</v>
      </c>
    </row>
    <row r="645" spans="1:34" ht="21.75" customHeight="1" x14ac:dyDescent="0.2">
      <c r="A645" s="141"/>
      <c r="B645" s="515" t="s">
        <v>579</v>
      </c>
      <c r="C645" s="515"/>
      <c r="D645" s="515"/>
      <c r="E645" s="515"/>
      <c r="F645" s="515"/>
      <c r="G645" s="515"/>
      <c r="H645" s="515"/>
      <c r="I645" s="515"/>
      <c r="J645" s="515"/>
      <c r="K645" s="515"/>
      <c r="L645" s="515"/>
      <c r="M645" s="515"/>
      <c r="N645" s="143">
        <v>998</v>
      </c>
      <c r="O645" s="144">
        <v>14</v>
      </c>
      <c r="P645" s="144">
        <v>2</v>
      </c>
      <c r="Q645" s="145" t="s">
        <v>580</v>
      </c>
      <c r="R645" s="146">
        <v>0</v>
      </c>
      <c r="S645" s="500"/>
      <c r="T645" s="500"/>
      <c r="U645" s="164">
        <v>932.2</v>
      </c>
      <c r="V645" s="164">
        <v>0</v>
      </c>
      <c r="W645" s="164">
        <v>932.2</v>
      </c>
      <c r="X645" s="514"/>
      <c r="Y645" s="514"/>
      <c r="Z645" s="514"/>
      <c r="AA645" s="514"/>
      <c r="AB645" s="514"/>
      <c r="AC645" s="514"/>
      <c r="AD645" s="514"/>
      <c r="AE645" s="164"/>
      <c r="AF645" s="160"/>
      <c r="AG645" s="160">
        <f>+AG646</f>
        <v>0</v>
      </c>
      <c r="AH645" s="170">
        <f t="shared" si="22"/>
        <v>0</v>
      </c>
    </row>
    <row r="646" spans="1:34" ht="12" customHeight="1" x14ac:dyDescent="0.2">
      <c r="A646" s="141"/>
      <c r="B646" s="515" t="s">
        <v>61</v>
      </c>
      <c r="C646" s="515"/>
      <c r="D646" s="515"/>
      <c r="E646" s="515"/>
      <c r="F646" s="515"/>
      <c r="G646" s="515"/>
      <c r="H646" s="515"/>
      <c r="I646" s="515"/>
      <c r="J646" s="515"/>
      <c r="K646" s="515"/>
      <c r="L646" s="515"/>
      <c r="M646" s="515"/>
      <c r="N646" s="143">
        <v>998</v>
      </c>
      <c r="O646" s="144">
        <v>14</v>
      </c>
      <c r="P646" s="144">
        <v>2</v>
      </c>
      <c r="Q646" s="145" t="s">
        <v>580</v>
      </c>
      <c r="R646" s="146" t="s">
        <v>103</v>
      </c>
      <c r="S646" s="500"/>
      <c r="T646" s="500"/>
      <c r="U646" s="164">
        <v>932.2</v>
      </c>
      <c r="V646" s="164">
        <v>0</v>
      </c>
      <c r="W646" s="164">
        <v>932.2</v>
      </c>
      <c r="X646" s="514"/>
      <c r="Y646" s="514"/>
      <c r="Z646" s="514"/>
      <c r="AA646" s="514"/>
      <c r="AB646" s="514"/>
      <c r="AC646" s="514"/>
      <c r="AD646" s="514"/>
      <c r="AE646" s="164"/>
      <c r="AF646" s="160"/>
      <c r="AG646" s="160">
        <f>+AG647</f>
        <v>0</v>
      </c>
      <c r="AH646" s="170">
        <f t="shared" si="22"/>
        <v>0</v>
      </c>
    </row>
    <row r="647" spans="1:34" ht="12" customHeight="1" x14ac:dyDescent="0.2">
      <c r="A647" s="141"/>
      <c r="B647" s="515" t="s">
        <v>107</v>
      </c>
      <c r="C647" s="515"/>
      <c r="D647" s="515"/>
      <c r="E647" s="515"/>
      <c r="F647" s="515"/>
      <c r="G647" s="515"/>
      <c r="H647" s="515"/>
      <c r="I647" s="515"/>
      <c r="J647" s="515"/>
      <c r="K647" s="515"/>
      <c r="L647" s="515"/>
      <c r="M647" s="515"/>
      <c r="N647" s="143">
        <v>998</v>
      </c>
      <c r="O647" s="144">
        <v>14</v>
      </c>
      <c r="P647" s="144">
        <v>2</v>
      </c>
      <c r="Q647" s="145" t="s">
        <v>580</v>
      </c>
      <c r="R647" s="146" t="s">
        <v>108</v>
      </c>
      <c r="S647" s="500"/>
      <c r="T647" s="500"/>
      <c r="U647" s="164">
        <v>932.2</v>
      </c>
      <c r="V647" s="164">
        <v>0</v>
      </c>
      <c r="W647" s="164">
        <v>932.2</v>
      </c>
      <c r="X647" s="514"/>
      <c r="Y647" s="514"/>
      <c r="Z647" s="514"/>
      <c r="AA647" s="514"/>
      <c r="AB647" s="514"/>
      <c r="AC647" s="514"/>
      <c r="AD647" s="514"/>
      <c r="AE647" s="164"/>
      <c r="AF647" s="160"/>
      <c r="AG647" s="160">
        <f>+AG648</f>
        <v>0</v>
      </c>
      <c r="AH647" s="170">
        <f t="shared" si="22"/>
        <v>0</v>
      </c>
    </row>
    <row r="648" spans="1:34" ht="12" customHeight="1" x14ac:dyDescent="0.2">
      <c r="A648" s="141"/>
      <c r="B648" s="515" t="s">
        <v>578</v>
      </c>
      <c r="C648" s="515"/>
      <c r="D648" s="515"/>
      <c r="E648" s="515"/>
      <c r="F648" s="515"/>
      <c r="G648" s="515"/>
      <c r="H648" s="515"/>
      <c r="I648" s="515"/>
      <c r="J648" s="515"/>
      <c r="K648" s="515"/>
      <c r="L648" s="515"/>
      <c r="M648" s="515"/>
      <c r="N648" s="143">
        <v>998</v>
      </c>
      <c r="O648" s="144">
        <v>14</v>
      </c>
      <c r="P648" s="144">
        <v>2</v>
      </c>
      <c r="Q648" s="145" t="s">
        <v>580</v>
      </c>
      <c r="R648" s="146" t="s">
        <v>581</v>
      </c>
      <c r="S648" s="500"/>
      <c r="T648" s="500"/>
      <c r="U648" s="164">
        <v>932.2</v>
      </c>
      <c r="V648" s="164">
        <v>0</v>
      </c>
      <c r="W648" s="164">
        <v>932.2</v>
      </c>
      <c r="X648" s="514"/>
      <c r="Y648" s="514"/>
      <c r="Z648" s="514"/>
      <c r="AA648" s="514"/>
      <c r="AB648" s="514"/>
      <c r="AC648" s="514"/>
      <c r="AD648" s="514"/>
      <c r="AE648" s="164"/>
      <c r="AF648" s="160"/>
      <c r="AG648" s="160"/>
      <c r="AH648" s="170">
        <f t="shared" si="22"/>
        <v>0</v>
      </c>
    </row>
    <row r="649" spans="1:34" ht="12" customHeight="1" x14ac:dyDescent="0.2">
      <c r="A649" s="141"/>
      <c r="B649" s="515" t="s">
        <v>110</v>
      </c>
      <c r="C649" s="515"/>
      <c r="D649" s="515"/>
      <c r="E649" s="515"/>
      <c r="F649" s="515"/>
      <c r="G649" s="515"/>
      <c r="H649" s="515"/>
      <c r="I649" s="515"/>
      <c r="J649" s="515"/>
      <c r="K649" s="515"/>
      <c r="L649" s="515"/>
      <c r="M649" s="515"/>
      <c r="N649" s="143">
        <v>998</v>
      </c>
      <c r="O649" s="144">
        <v>14</v>
      </c>
      <c r="P649" s="144">
        <v>3</v>
      </c>
      <c r="Q649" s="145">
        <v>0</v>
      </c>
      <c r="R649" s="146">
        <v>0</v>
      </c>
      <c r="S649" s="500"/>
      <c r="T649" s="500"/>
      <c r="U649" s="164">
        <v>1119.5170000000001</v>
      </c>
      <c r="V649" s="164">
        <v>0</v>
      </c>
      <c r="W649" s="164">
        <v>1119.5170000000001</v>
      </c>
      <c r="X649" s="514"/>
      <c r="Y649" s="514"/>
      <c r="Z649" s="514"/>
      <c r="AA649" s="514"/>
      <c r="AB649" s="514"/>
      <c r="AC649" s="514"/>
      <c r="AD649" s="514"/>
      <c r="AE649" s="164"/>
      <c r="AF649" s="160"/>
      <c r="AG649" s="160">
        <f>+AG650</f>
        <v>178.84593000000001</v>
      </c>
      <c r="AH649" s="170">
        <f t="shared" si="22"/>
        <v>15.975275944894094</v>
      </c>
    </row>
    <row r="650" spans="1:34" ht="32.25" customHeight="1" x14ac:dyDescent="0.2">
      <c r="A650" s="141"/>
      <c r="B650" s="515" t="s">
        <v>357</v>
      </c>
      <c r="C650" s="515"/>
      <c r="D650" s="515"/>
      <c r="E650" s="515"/>
      <c r="F650" s="515"/>
      <c r="G650" s="515"/>
      <c r="H650" s="515"/>
      <c r="I650" s="515"/>
      <c r="J650" s="515"/>
      <c r="K650" s="515"/>
      <c r="L650" s="515"/>
      <c r="M650" s="515"/>
      <c r="N650" s="143">
        <v>998</v>
      </c>
      <c r="O650" s="144">
        <v>14</v>
      </c>
      <c r="P650" s="144">
        <v>3</v>
      </c>
      <c r="Q650" s="145" t="s">
        <v>358</v>
      </c>
      <c r="R650" s="146">
        <v>0</v>
      </c>
      <c r="S650" s="500"/>
      <c r="T650" s="500"/>
      <c r="U650" s="164">
        <v>1119.5170000000001</v>
      </c>
      <c r="V650" s="164">
        <v>0</v>
      </c>
      <c r="W650" s="164">
        <v>1119.5170000000001</v>
      </c>
      <c r="X650" s="514"/>
      <c r="Y650" s="514"/>
      <c r="Z650" s="514"/>
      <c r="AA650" s="514"/>
      <c r="AB650" s="514"/>
      <c r="AC650" s="514"/>
      <c r="AD650" s="514"/>
      <c r="AE650" s="164"/>
      <c r="AF650" s="160"/>
      <c r="AG650" s="160">
        <f>+AG651+AG654</f>
        <v>178.84593000000001</v>
      </c>
      <c r="AH650" s="170">
        <f t="shared" si="22"/>
        <v>15.975275944894094</v>
      </c>
    </row>
    <row r="651" spans="1:34" ht="63.75" customHeight="1" x14ac:dyDescent="0.2">
      <c r="A651" s="141"/>
      <c r="B651" s="515" t="s">
        <v>111</v>
      </c>
      <c r="C651" s="515"/>
      <c r="D651" s="515"/>
      <c r="E651" s="515"/>
      <c r="F651" s="515"/>
      <c r="G651" s="515"/>
      <c r="H651" s="515"/>
      <c r="I651" s="515"/>
      <c r="J651" s="515"/>
      <c r="K651" s="515"/>
      <c r="L651" s="515"/>
      <c r="M651" s="515"/>
      <c r="N651" s="143">
        <v>998</v>
      </c>
      <c r="O651" s="144">
        <v>14</v>
      </c>
      <c r="P651" s="144">
        <v>3</v>
      </c>
      <c r="Q651" s="145" t="s">
        <v>517</v>
      </c>
      <c r="R651" s="146">
        <v>0</v>
      </c>
      <c r="S651" s="500"/>
      <c r="T651" s="500"/>
      <c r="U651" s="164">
        <v>595.13599999999997</v>
      </c>
      <c r="V651" s="164">
        <v>0</v>
      </c>
      <c r="W651" s="164">
        <v>595.13599999999997</v>
      </c>
      <c r="X651" s="514"/>
      <c r="Y651" s="514"/>
      <c r="Z651" s="514"/>
      <c r="AA651" s="514"/>
      <c r="AB651" s="514"/>
      <c r="AC651" s="514"/>
      <c r="AD651" s="514"/>
      <c r="AE651" s="164"/>
      <c r="AF651" s="160"/>
      <c r="AG651" s="160">
        <f>+AG652</f>
        <v>178.84593000000001</v>
      </c>
      <c r="AH651" s="170">
        <f t="shared" si="22"/>
        <v>30.051270633939136</v>
      </c>
    </row>
    <row r="652" spans="1:34" ht="12" customHeight="1" x14ac:dyDescent="0.2">
      <c r="A652" s="141"/>
      <c r="B652" s="515" t="s">
        <v>61</v>
      </c>
      <c r="C652" s="515"/>
      <c r="D652" s="515"/>
      <c r="E652" s="515"/>
      <c r="F652" s="515"/>
      <c r="G652" s="515"/>
      <c r="H652" s="515"/>
      <c r="I652" s="515"/>
      <c r="J652" s="515"/>
      <c r="K652" s="515"/>
      <c r="L652" s="515"/>
      <c r="M652" s="515"/>
      <c r="N652" s="143">
        <v>998</v>
      </c>
      <c r="O652" s="144">
        <v>14</v>
      </c>
      <c r="P652" s="144">
        <v>3</v>
      </c>
      <c r="Q652" s="145" t="s">
        <v>517</v>
      </c>
      <c r="R652" s="146" t="s">
        <v>103</v>
      </c>
      <c r="S652" s="500"/>
      <c r="T652" s="500"/>
      <c r="U652" s="164">
        <v>595.13599999999997</v>
      </c>
      <c r="V652" s="164">
        <v>0</v>
      </c>
      <c r="W652" s="164">
        <v>595.13599999999997</v>
      </c>
      <c r="X652" s="514"/>
      <c r="Y652" s="514"/>
      <c r="Z652" s="514"/>
      <c r="AA652" s="514"/>
      <c r="AB652" s="514"/>
      <c r="AC652" s="514"/>
      <c r="AD652" s="514"/>
      <c r="AE652" s="164"/>
      <c r="AF652" s="160"/>
      <c r="AG652" s="160">
        <f>+AG653</f>
        <v>178.84593000000001</v>
      </c>
      <c r="AH652" s="170">
        <f t="shared" si="22"/>
        <v>30.051270633939136</v>
      </c>
    </row>
    <row r="653" spans="1:34" ht="12" customHeight="1" x14ac:dyDescent="0.2">
      <c r="A653" s="141"/>
      <c r="B653" s="515" t="s">
        <v>160</v>
      </c>
      <c r="C653" s="515"/>
      <c r="D653" s="515"/>
      <c r="E653" s="515"/>
      <c r="F653" s="515"/>
      <c r="G653" s="515"/>
      <c r="H653" s="515"/>
      <c r="I653" s="515"/>
      <c r="J653" s="515"/>
      <c r="K653" s="515"/>
      <c r="L653" s="515"/>
      <c r="M653" s="515"/>
      <c r="N653" s="143">
        <v>998</v>
      </c>
      <c r="O653" s="144">
        <v>14</v>
      </c>
      <c r="P653" s="144">
        <v>3</v>
      </c>
      <c r="Q653" s="145" t="s">
        <v>517</v>
      </c>
      <c r="R653" s="146" t="s">
        <v>161</v>
      </c>
      <c r="S653" s="500"/>
      <c r="T653" s="500"/>
      <c r="U653" s="164">
        <v>595.13599999999997</v>
      </c>
      <c r="V653" s="164">
        <v>0</v>
      </c>
      <c r="W653" s="164">
        <v>595.13599999999997</v>
      </c>
      <c r="X653" s="514"/>
      <c r="Y653" s="514"/>
      <c r="Z653" s="514"/>
      <c r="AA653" s="514"/>
      <c r="AB653" s="514"/>
      <c r="AC653" s="514"/>
      <c r="AD653" s="514"/>
      <c r="AE653" s="164"/>
      <c r="AF653" s="160"/>
      <c r="AG653" s="160">
        <v>178.84593000000001</v>
      </c>
      <c r="AH653" s="170">
        <f t="shared" si="22"/>
        <v>30.051270633939136</v>
      </c>
    </row>
    <row r="654" spans="1:34" ht="32.25" customHeight="1" x14ac:dyDescent="0.2">
      <c r="A654" s="141"/>
      <c r="B654" s="515" t="s">
        <v>112</v>
      </c>
      <c r="C654" s="515"/>
      <c r="D654" s="515"/>
      <c r="E654" s="515"/>
      <c r="F654" s="515"/>
      <c r="G654" s="515"/>
      <c r="H654" s="515"/>
      <c r="I654" s="515"/>
      <c r="J654" s="515"/>
      <c r="K654" s="515"/>
      <c r="L654" s="515"/>
      <c r="M654" s="515"/>
      <c r="N654" s="143">
        <v>998</v>
      </c>
      <c r="O654" s="144">
        <v>14</v>
      </c>
      <c r="P654" s="144">
        <v>3</v>
      </c>
      <c r="Q654" s="145" t="s">
        <v>518</v>
      </c>
      <c r="R654" s="146">
        <v>0</v>
      </c>
      <c r="S654" s="500"/>
      <c r="T654" s="500"/>
      <c r="U654" s="164">
        <v>524.38099999999997</v>
      </c>
      <c r="V654" s="164">
        <v>0</v>
      </c>
      <c r="W654" s="164">
        <v>524.38099999999997</v>
      </c>
      <c r="X654" s="514"/>
      <c r="Y654" s="514"/>
      <c r="Z654" s="514"/>
      <c r="AA654" s="514"/>
      <c r="AB654" s="514"/>
      <c r="AC654" s="514"/>
      <c r="AD654" s="514"/>
      <c r="AE654" s="164"/>
      <c r="AF654" s="160"/>
      <c r="AG654" s="160">
        <f>+AG655</f>
        <v>0</v>
      </c>
      <c r="AH654" s="170">
        <f t="shared" si="22"/>
        <v>0</v>
      </c>
    </row>
    <row r="655" spans="1:34" ht="12" customHeight="1" x14ac:dyDescent="0.2">
      <c r="A655" s="141"/>
      <c r="B655" s="515" t="s">
        <v>61</v>
      </c>
      <c r="C655" s="515"/>
      <c r="D655" s="515"/>
      <c r="E655" s="515"/>
      <c r="F655" s="515"/>
      <c r="G655" s="515"/>
      <c r="H655" s="515"/>
      <c r="I655" s="515"/>
      <c r="J655" s="515"/>
      <c r="K655" s="515"/>
      <c r="L655" s="515"/>
      <c r="M655" s="515"/>
      <c r="N655" s="143">
        <v>998</v>
      </c>
      <c r="O655" s="144">
        <v>14</v>
      </c>
      <c r="P655" s="144">
        <v>3</v>
      </c>
      <c r="Q655" s="145" t="s">
        <v>518</v>
      </c>
      <c r="R655" s="146" t="s">
        <v>103</v>
      </c>
      <c r="S655" s="500"/>
      <c r="T655" s="500"/>
      <c r="U655" s="164">
        <v>524.38099999999997</v>
      </c>
      <c r="V655" s="164">
        <v>0</v>
      </c>
      <c r="W655" s="164">
        <v>524.38099999999997</v>
      </c>
      <c r="X655" s="514"/>
      <c r="Y655" s="514"/>
      <c r="Z655" s="514"/>
      <c r="AA655" s="514"/>
      <c r="AB655" s="514"/>
      <c r="AC655" s="514"/>
      <c r="AD655" s="514"/>
      <c r="AE655" s="164"/>
      <c r="AF655" s="160"/>
      <c r="AG655" s="160">
        <f>+AG656</f>
        <v>0</v>
      </c>
      <c r="AH655" s="170">
        <f t="shared" si="22"/>
        <v>0</v>
      </c>
    </row>
    <row r="656" spans="1:34" ht="12" customHeight="1" x14ac:dyDescent="0.2">
      <c r="A656" s="141"/>
      <c r="B656" s="515" t="s">
        <v>160</v>
      </c>
      <c r="C656" s="515"/>
      <c r="D656" s="515"/>
      <c r="E656" s="515"/>
      <c r="F656" s="515"/>
      <c r="G656" s="515"/>
      <c r="H656" s="515"/>
      <c r="I656" s="515"/>
      <c r="J656" s="515"/>
      <c r="K656" s="515"/>
      <c r="L656" s="515"/>
      <c r="M656" s="515"/>
      <c r="N656" s="143">
        <v>998</v>
      </c>
      <c r="O656" s="144">
        <v>14</v>
      </c>
      <c r="P656" s="144">
        <v>3</v>
      </c>
      <c r="Q656" s="145" t="s">
        <v>518</v>
      </c>
      <c r="R656" s="146" t="s">
        <v>161</v>
      </c>
      <c r="S656" s="500"/>
      <c r="T656" s="500"/>
      <c r="U656" s="164">
        <v>524.38099999999997</v>
      </c>
      <c r="V656" s="164">
        <v>0</v>
      </c>
      <c r="W656" s="164">
        <v>524.38099999999997</v>
      </c>
      <c r="X656" s="514"/>
      <c r="Y656" s="514"/>
      <c r="Z656" s="514"/>
      <c r="AA656" s="514"/>
      <c r="AB656" s="514"/>
      <c r="AC656" s="514"/>
      <c r="AD656" s="514"/>
      <c r="AE656" s="164"/>
      <c r="AF656" s="160"/>
      <c r="AG656" s="160"/>
      <c r="AH656" s="170">
        <f t="shared" si="22"/>
        <v>0</v>
      </c>
    </row>
    <row r="657" spans="1:34" ht="12.75" customHeight="1" x14ac:dyDescent="0.2">
      <c r="A657" s="141"/>
      <c r="B657" s="151"/>
      <c r="C657" s="151"/>
      <c r="D657" s="151"/>
      <c r="E657" s="151"/>
      <c r="F657" s="151"/>
      <c r="G657" s="151"/>
      <c r="H657" s="151"/>
      <c r="I657" s="151"/>
      <c r="J657" s="151"/>
      <c r="K657" s="151"/>
      <c r="L657" s="151"/>
      <c r="M657" s="151"/>
      <c r="N657" s="264"/>
      <c r="O657" s="264"/>
      <c r="P657" s="264"/>
      <c r="Q657" s="264" t="s">
        <v>584</v>
      </c>
      <c r="R657" s="264"/>
      <c r="S657" s="264"/>
      <c r="T657" s="264"/>
      <c r="U657" s="165">
        <v>526487.91599999997</v>
      </c>
      <c r="V657" s="165">
        <v>0</v>
      </c>
      <c r="W657" s="165">
        <v>526487.91599999997</v>
      </c>
      <c r="X657" s="165">
        <v>0</v>
      </c>
      <c r="Y657" s="165">
        <v>0</v>
      </c>
      <c r="Z657" s="165">
        <v>0</v>
      </c>
      <c r="AA657" s="165">
        <v>0</v>
      </c>
      <c r="AB657" s="165">
        <v>0</v>
      </c>
      <c r="AC657" s="165">
        <v>0</v>
      </c>
      <c r="AD657" s="165">
        <v>0</v>
      </c>
      <c r="AE657" s="164"/>
      <c r="AF657" s="160"/>
      <c r="AG657" s="166">
        <f>+AG18+AG105+AG204+AG242+AG329+AG380+AG592</f>
        <v>130821.34944999999</v>
      </c>
      <c r="AH657" s="171">
        <f t="shared" si="22"/>
        <v>24.847930118494876</v>
      </c>
    </row>
  </sheetData>
  <autoFilter ref="A17:IT657"/>
  <mergeCells count="1924">
    <mergeCell ref="X28:AD28"/>
    <mergeCell ref="B38:M38"/>
    <mergeCell ref="U1:AH1"/>
    <mergeCell ref="P2:AH3"/>
    <mergeCell ref="M4:AH4"/>
    <mergeCell ref="M5:AH5"/>
    <mergeCell ref="M6:AH6"/>
    <mergeCell ref="A8:AH8"/>
    <mergeCell ref="A9:AH9"/>
    <mergeCell ref="B18:M18"/>
    <mergeCell ref="S18:T18"/>
    <mergeCell ref="B19:M19"/>
    <mergeCell ref="S19:T19"/>
    <mergeCell ref="X18:AD18"/>
    <mergeCell ref="X19:AD19"/>
    <mergeCell ref="X20:AD20"/>
    <mergeCell ref="X21:AD21"/>
    <mergeCell ref="X22:AD22"/>
    <mergeCell ref="B32:M32"/>
    <mergeCell ref="S32:T32"/>
    <mergeCell ref="B26:M26"/>
    <mergeCell ref="S26:T26"/>
    <mergeCell ref="B27:M27"/>
    <mergeCell ref="S27:T27"/>
    <mergeCell ref="B24:M24"/>
    <mergeCell ref="S24:T24"/>
    <mergeCell ref="B23:M23"/>
    <mergeCell ref="S23:T23"/>
    <mergeCell ref="X23:AD23"/>
    <mergeCell ref="X24:AD24"/>
    <mergeCell ref="X25:AD25"/>
    <mergeCell ref="X26:AD26"/>
    <mergeCell ref="X27:AD27"/>
    <mergeCell ref="S31:T31"/>
    <mergeCell ref="B28:M28"/>
    <mergeCell ref="S28:T28"/>
    <mergeCell ref="B29:M29"/>
    <mergeCell ref="S29:T29"/>
    <mergeCell ref="X38:AD38"/>
    <mergeCell ref="X39:AD39"/>
    <mergeCell ref="X40:AD40"/>
    <mergeCell ref="B46:M46"/>
    <mergeCell ref="S46:T46"/>
    <mergeCell ref="B47:M47"/>
    <mergeCell ref="S47:T47"/>
    <mergeCell ref="X41:AD41"/>
    <mergeCell ref="B34:M34"/>
    <mergeCell ref="S34:T34"/>
    <mergeCell ref="B35:M35"/>
    <mergeCell ref="X29:AD29"/>
    <mergeCell ref="X30:AD30"/>
    <mergeCell ref="X31:AD31"/>
    <mergeCell ref="X32:AD32"/>
    <mergeCell ref="X33:AD33"/>
    <mergeCell ref="X34:AD34"/>
    <mergeCell ref="S38:T38"/>
    <mergeCell ref="B39:M39"/>
    <mergeCell ref="S39:T39"/>
    <mergeCell ref="B33:M33"/>
    <mergeCell ref="S33:T33"/>
    <mergeCell ref="X37:AD37"/>
    <mergeCell ref="X35:AD35"/>
    <mergeCell ref="X36:AD36"/>
    <mergeCell ref="X42:AD42"/>
    <mergeCell ref="X43:AD43"/>
    <mergeCell ref="B20:M20"/>
    <mergeCell ref="S20:T20"/>
    <mergeCell ref="B21:M21"/>
    <mergeCell ref="S21:T21"/>
    <mergeCell ref="B36:M36"/>
    <mergeCell ref="S36:T36"/>
    <mergeCell ref="B37:M37"/>
    <mergeCell ref="S37:T37"/>
    <mergeCell ref="B22:M22"/>
    <mergeCell ref="S22:T22"/>
    <mergeCell ref="B48:M48"/>
    <mergeCell ref="S48:T48"/>
    <mergeCell ref="B49:M49"/>
    <mergeCell ref="B52:M52"/>
    <mergeCell ref="S52:T52"/>
    <mergeCell ref="B53:M53"/>
    <mergeCell ref="S53:T53"/>
    <mergeCell ref="B42:M42"/>
    <mergeCell ref="S42:T42"/>
    <mergeCell ref="B43:M43"/>
    <mergeCell ref="S43:T43"/>
    <mergeCell ref="S35:T35"/>
    <mergeCell ref="S49:T49"/>
    <mergeCell ref="B40:M40"/>
    <mergeCell ref="S40:T40"/>
    <mergeCell ref="B41:M41"/>
    <mergeCell ref="S41:T41"/>
    <mergeCell ref="B25:M25"/>
    <mergeCell ref="S25:T25"/>
    <mergeCell ref="B30:M30"/>
    <mergeCell ref="S30:T30"/>
    <mergeCell ref="B31:M31"/>
    <mergeCell ref="X48:AD48"/>
    <mergeCell ref="X49:AD49"/>
    <mergeCell ref="X50:AD50"/>
    <mergeCell ref="X51:AD51"/>
    <mergeCell ref="X52:AD52"/>
    <mergeCell ref="X53:AD53"/>
    <mergeCell ref="B58:M58"/>
    <mergeCell ref="S58:T58"/>
    <mergeCell ref="B59:M59"/>
    <mergeCell ref="S59:T59"/>
    <mergeCell ref="B56:M56"/>
    <mergeCell ref="S56:T56"/>
    <mergeCell ref="B57:M57"/>
    <mergeCell ref="S57:T57"/>
    <mergeCell ref="B44:M44"/>
    <mergeCell ref="S44:T44"/>
    <mergeCell ref="B45:M45"/>
    <mergeCell ref="S45:T45"/>
    <mergeCell ref="B54:M54"/>
    <mergeCell ref="S54:T54"/>
    <mergeCell ref="B55:M55"/>
    <mergeCell ref="S55:T55"/>
    <mergeCell ref="X54:AD54"/>
    <mergeCell ref="X55:AD55"/>
    <mergeCell ref="X56:AD56"/>
    <mergeCell ref="X57:AD57"/>
    <mergeCell ref="X58:AD58"/>
    <mergeCell ref="X59:AD59"/>
    <mergeCell ref="X44:AD44"/>
    <mergeCell ref="X45:AD45"/>
    <mergeCell ref="X46:AD46"/>
    <mergeCell ref="X47:AD47"/>
    <mergeCell ref="B64:M64"/>
    <mergeCell ref="S64:T64"/>
    <mergeCell ref="B65:M65"/>
    <mergeCell ref="S65:T65"/>
    <mergeCell ref="B62:M62"/>
    <mergeCell ref="S62:T62"/>
    <mergeCell ref="B63:M63"/>
    <mergeCell ref="S63:T63"/>
    <mergeCell ref="B50:M50"/>
    <mergeCell ref="S50:T50"/>
    <mergeCell ref="B51:M51"/>
    <mergeCell ref="S51:T51"/>
    <mergeCell ref="B60:M60"/>
    <mergeCell ref="S60:T60"/>
    <mergeCell ref="B61:M61"/>
    <mergeCell ref="S61:T61"/>
    <mergeCell ref="X60:AD60"/>
    <mergeCell ref="X61:AD61"/>
    <mergeCell ref="X62:AD62"/>
    <mergeCell ref="X63:AD63"/>
    <mergeCell ref="X64:AD64"/>
    <mergeCell ref="X65:AD65"/>
    <mergeCell ref="B70:M70"/>
    <mergeCell ref="S70:T70"/>
    <mergeCell ref="B71:M71"/>
    <mergeCell ref="S71:T71"/>
    <mergeCell ref="B68:M68"/>
    <mergeCell ref="S68:T68"/>
    <mergeCell ref="B69:M69"/>
    <mergeCell ref="S69:T69"/>
    <mergeCell ref="B66:M66"/>
    <mergeCell ref="S66:T66"/>
    <mergeCell ref="B67:M67"/>
    <mergeCell ref="S67:T67"/>
    <mergeCell ref="X66:AD66"/>
    <mergeCell ref="X67:AD67"/>
    <mergeCell ref="X68:AD68"/>
    <mergeCell ref="X69:AD69"/>
    <mergeCell ref="X70:AD70"/>
    <mergeCell ref="X71:AD71"/>
    <mergeCell ref="B76:M76"/>
    <mergeCell ref="S76:T76"/>
    <mergeCell ref="B77:M77"/>
    <mergeCell ref="S77:T77"/>
    <mergeCell ref="B74:M74"/>
    <mergeCell ref="S74:T74"/>
    <mergeCell ref="B75:M75"/>
    <mergeCell ref="S75:T75"/>
    <mergeCell ref="B72:M72"/>
    <mergeCell ref="S72:T72"/>
    <mergeCell ref="B73:M73"/>
    <mergeCell ref="S73:T73"/>
    <mergeCell ref="X72:AD72"/>
    <mergeCell ref="X73:AD73"/>
    <mergeCell ref="X74:AD74"/>
    <mergeCell ref="X75:AD75"/>
    <mergeCell ref="X76:AD76"/>
    <mergeCell ref="X77:AD77"/>
    <mergeCell ref="B82:M82"/>
    <mergeCell ref="S82:T82"/>
    <mergeCell ref="B83:M83"/>
    <mergeCell ref="S83:T83"/>
    <mergeCell ref="B80:M80"/>
    <mergeCell ref="S80:T80"/>
    <mergeCell ref="B81:M81"/>
    <mergeCell ref="S81:T81"/>
    <mergeCell ref="B78:M78"/>
    <mergeCell ref="S78:T78"/>
    <mergeCell ref="B79:M79"/>
    <mergeCell ref="S79:T79"/>
    <mergeCell ref="X78:AD78"/>
    <mergeCell ref="X79:AD79"/>
    <mergeCell ref="X80:AD80"/>
    <mergeCell ref="X81:AD81"/>
    <mergeCell ref="X82:AD82"/>
    <mergeCell ref="X83:AD83"/>
    <mergeCell ref="B88:M88"/>
    <mergeCell ref="S88:T88"/>
    <mergeCell ref="B89:M89"/>
    <mergeCell ref="S89:T89"/>
    <mergeCell ref="B86:M86"/>
    <mergeCell ref="S86:T86"/>
    <mergeCell ref="B87:M87"/>
    <mergeCell ref="S87:T87"/>
    <mergeCell ref="B84:M84"/>
    <mergeCell ref="S84:T84"/>
    <mergeCell ref="B85:M85"/>
    <mergeCell ref="S85:T85"/>
    <mergeCell ref="X84:AD84"/>
    <mergeCell ref="X85:AD85"/>
    <mergeCell ref="X86:AD86"/>
    <mergeCell ref="X87:AD87"/>
    <mergeCell ref="X88:AD88"/>
    <mergeCell ref="X89:AD89"/>
    <mergeCell ref="B94:M94"/>
    <mergeCell ref="S94:T94"/>
    <mergeCell ref="B95:M95"/>
    <mergeCell ref="S95:T95"/>
    <mergeCell ref="B92:M92"/>
    <mergeCell ref="S92:T92"/>
    <mergeCell ref="B93:M93"/>
    <mergeCell ref="S93:T93"/>
    <mergeCell ref="B90:M90"/>
    <mergeCell ref="S90:T90"/>
    <mergeCell ref="B91:M91"/>
    <mergeCell ref="S91:T91"/>
    <mergeCell ref="X90:AD90"/>
    <mergeCell ref="X91:AD91"/>
    <mergeCell ref="X92:AD92"/>
    <mergeCell ref="X93:AD93"/>
    <mergeCell ref="X94:AD94"/>
    <mergeCell ref="X95:AD95"/>
    <mergeCell ref="B100:M100"/>
    <mergeCell ref="S100:T100"/>
    <mergeCell ref="B101:M101"/>
    <mergeCell ref="S101:T101"/>
    <mergeCell ref="B98:M98"/>
    <mergeCell ref="S98:T98"/>
    <mergeCell ref="B99:M99"/>
    <mergeCell ref="S99:T99"/>
    <mergeCell ref="B96:M96"/>
    <mergeCell ref="S96:T96"/>
    <mergeCell ref="B97:M97"/>
    <mergeCell ref="S97:T97"/>
    <mergeCell ref="X96:AD96"/>
    <mergeCell ref="X97:AD97"/>
    <mergeCell ref="X98:AD98"/>
    <mergeCell ref="X99:AD99"/>
    <mergeCell ref="X100:AD100"/>
    <mergeCell ref="X101:AD101"/>
    <mergeCell ref="B106:M106"/>
    <mergeCell ref="S106:T106"/>
    <mergeCell ref="B107:M107"/>
    <mergeCell ref="S107:T107"/>
    <mergeCell ref="B104:M104"/>
    <mergeCell ref="S104:T104"/>
    <mergeCell ref="B105:M105"/>
    <mergeCell ref="S105:T105"/>
    <mergeCell ref="B102:M102"/>
    <mergeCell ref="S102:T102"/>
    <mergeCell ref="B103:M103"/>
    <mergeCell ref="S103:T103"/>
    <mergeCell ref="X102:AD102"/>
    <mergeCell ref="X103:AD103"/>
    <mergeCell ref="X104:AD104"/>
    <mergeCell ref="X105:AD105"/>
    <mergeCell ref="X106:AD106"/>
    <mergeCell ref="X107:AD107"/>
    <mergeCell ref="B112:M112"/>
    <mergeCell ref="S112:T112"/>
    <mergeCell ref="B113:M113"/>
    <mergeCell ref="S113:T113"/>
    <mergeCell ref="B110:M110"/>
    <mergeCell ref="S110:T110"/>
    <mergeCell ref="B111:M111"/>
    <mergeCell ref="S111:T111"/>
    <mergeCell ref="B108:M108"/>
    <mergeCell ref="S108:T108"/>
    <mergeCell ref="B109:M109"/>
    <mergeCell ref="S109:T109"/>
    <mergeCell ref="X108:AD108"/>
    <mergeCell ref="X109:AD109"/>
    <mergeCell ref="X110:AD110"/>
    <mergeCell ref="X111:AD111"/>
    <mergeCell ref="X112:AD112"/>
    <mergeCell ref="X113:AD113"/>
    <mergeCell ref="B118:M118"/>
    <mergeCell ref="S118:T118"/>
    <mergeCell ref="B119:M119"/>
    <mergeCell ref="S119:T119"/>
    <mergeCell ref="B116:M116"/>
    <mergeCell ref="S116:T116"/>
    <mergeCell ref="B117:M117"/>
    <mergeCell ref="S117:T117"/>
    <mergeCell ref="B114:M114"/>
    <mergeCell ref="S114:T114"/>
    <mergeCell ref="B115:M115"/>
    <mergeCell ref="S115:T115"/>
    <mergeCell ref="X114:AD114"/>
    <mergeCell ref="X115:AD115"/>
    <mergeCell ref="X116:AD116"/>
    <mergeCell ref="X117:AD117"/>
    <mergeCell ref="X118:AD118"/>
    <mergeCell ref="X119:AD119"/>
    <mergeCell ref="B124:M124"/>
    <mergeCell ref="S124:T124"/>
    <mergeCell ref="B125:M125"/>
    <mergeCell ref="S125:T125"/>
    <mergeCell ref="B122:M122"/>
    <mergeCell ref="S122:T122"/>
    <mergeCell ref="B123:M123"/>
    <mergeCell ref="S123:T123"/>
    <mergeCell ref="B120:M120"/>
    <mergeCell ref="S120:T120"/>
    <mergeCell ref="B121:M121"/>
    <mergeCell ref="S121:T121"/>
    <mergeCell ref="X120:AD120"/>
    <mergeCell ref="X121:AD121"/>
    <mergeCell ref="X122:AD122"/>
    <mergeCell ref="X123:AD123"/>
    <mergeCell ref="X124:AD124"/>
    <mergeCell ref="X125:AD125"/>
    <mergeCell ref="B130:M130"/>
    <mergeCell ref="S130:T130"/>
    <mergeCell ref="B131:M131"/>
    <mergeCell ref="S131:T131"/>
    <mergeCell ref="B128:M128"/>
    <mergeCell ref="S128:T128"/>
    <mergeCell ref="B129:M129"/>
    <mergeCell ref="S129:T129"/>
    <mergeCell ref="B126:M126"/>
    <mergeCell ref="S126:T126"/>
    <mergeCell ref="B127:M127"/>
    <mergeCell ref="S127:T127"/>
    <mergeCell ref="X126:AD126"/>
    <mergeCell ref="X127:AD127"/>
    <mergeCell ref="X128:AD128"/>
    <mergeCell ref="X129:AD129"/>
    <mergeCell ref="X130:AD130"/>
    <mergeCell ref="X131:AD131"/>
    <mergeCell ref="B136:M136"/>
    <mergeCell ref="S136:T136"/>
    <mergeCell ref="B137:M137"/>
    <mergeCell ref="S137:T137"/>
    <mergeCell ref="B134:M134"/>
    <mergeCell ref="S134:T134"/>
    <mergeCell ref="B135:M135"/>
    <mergeCell ref="S135:T135"/>
    <mergeCell ref="B132:M132"/>
    <mergeCell ref="S132:T132"/>
    <mergeCell ref="B133:M133"/>
    <mergeCell ref="S133:T133"/>
    <mergeCell ref="X132:AD132"/>
    <mergeCell ref="X133:AD133"/>
    <mergeCell ref="X134:AD134"/>
    <mergeCell ref="X135:AD135"/>
    <mergeCell ref="X136:AD136"/>
    <mergeCell ref="X137:AD137"/>
    <mergeCell ref="B142:M142"/>
    <mergeCell ref="S142:T142"/>
    <mergeCell ref="B143:M143"/>
    <mergeCell ref="S143:T143"/>
    <mergeCell ref="B140:M140"/>
    <mergeCell ref="S140:T140"/>
    <mergeCell ref="B141:M141"/>
    <mergeCell ref="S141:T141"/>
    <mergeCell ref="B138:M138"/>
    <mergeCell ref="S138:T138"/>
    <mergeCell ref="B139:M139"/>
    <mergeCell ref="S139:T139"/>
    <mergeCell ref="X138:AD138"/>
    <mergeCell ref="X139:AD139"/>
    <mergeCell ref="X140:AD140"/>
    <mergeCell ref="X141:AD141"/>
    <mergeCell ref="X142:AD142"/>
    <mergeCell ref="X143:AD143"/>
    <mergeCell ref="B148:M148"/>
    <mergeCell ref="S148:T148"/>
    <mergeCell ref="B149:M149"/>
    <mergeCell ref="S149:T149"/>
    <mergeCell ref="B146:M146"/>
    <mergeCell ref="S146:T146"/>
    <mergeCell ref="B147:M147"/>
    <mergeCell ref="S147:T147"/>
    <mergeCell ref="B144:M144"/>
    <mergeCell ref="S144:T144"/>
    <mergeCell ref="B145:M145"/>
    <mergeCell ref="S145:T145"/>
    <mergeCell ref="X144:AD144"/>
    <mergeCell ref="X145:AD145"/>
    <mergeCell ref="X146:AD146"/>
    <mergeCell ref="X147:AD147"/>
    <mergeCell ref="X148:AD148"/>
    <mergeCell ref="X149:AD149"/>
    <mergeCell ref="X156:AD156"/>
    <mergeCell ref="X157:AD157"/>
    <mergeCell ref="X158:AD158"/>
    <mergeCell ref="X159:AD159"/>
    <mergeCell ref="X160:AD160"/>
    <mergeCell ref="X161:AD161"/>
    <mergeCell ref="B154:M154"/>
    <mergeCell ref="S154:T154"/>
    <mergeCell ref="B155:M155"/>
    <mergeCell ref="S155:T155"/>
    <mergeCell ref="B152:M152"/>
    <mergeCell ref="S152:T152"/>
    <mergeCell ref="B153:M153"/>
    <mergeCell ref="S153:T153"/>
    <mergeCell ref="B150:M150"/>
    <mergeCell ref="S150:T150"/>
    <mergeCell ref="B151:M151"/>
    <mergeCell ref="S151:T151"/>
    <mergeCell ref="X150:AD150"/>
    <mergeCell ref="X151:AD151"/>
    <mergeCell ref="X152:AD152"/>
    <mergeCell ref="X153:AD153"/>
    <mergeCell ref="X154:AD154"/>
    <mergeCell ref="X155:AD155"/>
    <mergeCell ref="B164:M164"/>
    <mergeCell ref="S164:T164"/>
    <mergeCell ref="B165:M165"/>
    <mergeCell ref="S165:T165"/>
    <mergeCell ref="B162:M162"/>
    <mergeCell ref="S162:T162"/>
    <mergeCell ref="B160:M160"/>
    <mergeCell ref="S160:T160"/>
    <mergeCell ref="B161:M161"/>
    <mergeCell ref="S161:T161"/>
    <mergeCell ref="B158:M158"/>
    <mergeCell ref="S158:T158"/>
    <mergeCell ref="B159:M159"/>
    <mergeCell ref="S159:T159"/>
    <mergeCell ref="B156:M156"/>
    <mergeCell ref="S156:T156"/>
    <mergeCell ref="B157:M157"/>
    <mergeCell ref="S157:T157"/>
    <mergeCell ref="S177:T177"/>
    <mergeCell ref="B170:M170"/>
    <mergeCell ref="S170:T170"/>
    <mergeCell ref="B175:M175"/>
    <mergeCell ref="S175:T175"/>
    <mergeCell ref="S185:T185"/>
    <mergeCell ref="X180:AD180"/>
    <mergeCell ref="B185:M185"/>
    <mergeCell ref="B180:M180"/>
    <mergeCell ref="S180:T180"/>
    <mergeCell ref="B181:M181"/>
    <mergeCell ref="S181:T181"/>
    <mergeCell ref="B178:M178"/>
    <mergeCell ref="S178:T178"/>
    <mergeCell ref="B163:M163"/>
    <mergeCell ref="S163:T163"/>
    <mergeCell ref="X162:AD162"/>
    <mergeCell ref="X163:AD163"/>
    <mergeCell ref="X164:AD164"/>
    <mergeCell ref="X165:AD165"/>
    <mergeCell ref="X166:AD166"/>
    <mergeCell ref="X167:AD167"/>
    <mergeCell ref="X181:AD181"/>
    <mergeCell ref="X182:AD182"/>
    <mergeCell ref="B174:M174"/>
    <mergeCell ref="S174:T174"/>
    <mergeCell ref="X174:AD174"/>
    <mergeCell ref="S168:T168"/>
    <mergeCell ref="B166:M166"/>
    <mergeCell ref="S166:T166"/>
    <mergeCell ref="B167:M167"/>
    <mergeCell ref="S167:T167"/>
    <mergeCell ref="X194:AD194"/>
    <mergeCell ref="B168:M168"/>
    <mergeCell ref="B169:M169"/>
    <mergeCell ref="S169:T169"/>
    <mergeCell ref="X168:AD168"/>
    <mergeCell ref="X169:AD169"/>
    <mergeCell ref="X170:AD170"/>
    <mergeCell ref="X175:AD175"/>
    <mergeCell ref="X176:AD176"/>
    <mergeCell ref="X177:AD177"/>
    <mergeCell ref="B171:M171"/>
    <mergeCell ref="S171:T171"/>
    <mergeCell ref="X171:AD171"/>
    <mergeCell ref="B172:M172"/>
    <mergeCell ref="S172:T172"/>
    <mergeCell ref="X172:AD172"/>
    <mergeCell ref="B173:M173"/>
    <mergeCell ref="S173:T173"/>
    <mergeCell ref="X173:AD173"/>
    <mergeCell ref="B179:M179"/>
    <mergeCell ref="S179:T179"/>
    <mergeCell ref="X178:AD178"/>
    <mergeCell ref="X179:AD179"/>
    <mergeCell ref="S184:T184"/>
    <mergeCell ref="B188:M188"/>
    <mergeCell ref="S188:T188"/>
    <mergeCell ref="B189:M189"/>
    <mergeCell ref="S189:T189"/>
    <mergeCell ref="X183:AD183"/>
    <mergeCell ref="B176:M176"/>
    <mergeCell ref="S176:T176"/>
    <mergeCell ref="B177:M177"/>
    <mergeCell ref="X201:AD201"/>
    <mergeCell ref="B194:M194"/>
    <mergeCell ref="S194:T194"/>
    <mergeCell ref="B195:M195"/>
    <mergeCell ref="S195:T195"/>
    <mergeCell ref="X184:AD184"/>
    <mergeCell ref="X185:AD185"/>
    <mergeCell ref="X186:AD186"/>
    <mergeCell ref="X187:AD187"/>
    <mergeCell ref="X188:AD188"/>
    <mergeCell ref="X189:AD189"/>
    <mergeCell ref="B182:M182"/>
    <mergeCell ref="S182:T182"/>
    <mergeCell ref="B183:M183"/>
    <mergeCell ref="S183:T183"/>
    <mergeCell ref="B192:M192"/>
    <mergeCell ref="S192:T192"/>
    <mergeCell ref="B193:M193"/>
    <mergeCell ref="S193:T193"/>
    <mergeCell ref="B190:M190"/>
    <mergeCell ref="S190:T190"/>
    <mergeCell ref="B191:M191"/>
    <mergeCell ref="S191:T191"/>
    <mergeCell ref="X190:AD190"/>
    <mergeCell ref="X191:AD191"/>
    <mergeCell ref="X192:AD192"/>
    <mergeCell ref="X193:AD193"/>
    <mergeCell ref="B186:M186"/>
    <mergeCell ref="S186:T186"/>
    <mergeCell ref="B187:M187"/>
    <mergeCell ref="S187:T187"/>
    <mergeCell ref="B184:M184"/>
    <mergeCell ref="B204:M204"/>
    <mergeCell ref="S204:T204"/>
    <mergeCell ref="B205:M205"/>
    <mergeCell ref="S205:T205"/>
    <mergeCell ref="B202:M202"/>
    <mergeCell ref="S202:T202"/>
    <mergeCell ref="B203:M203"/>
    <mergeCell ref="S203:T203"/>
    <mergeCell ref="X202:AD202"/>
    <mergeCell ref="X203:AD203"/>
    <mergeCell ref="X204:AD204"/>
    <mergeCell ref="X205:AD205"/>
    <mergeCell ref="X206:AD206"/>
    <mergeCell ref="X207:AD207"/>
    <mergeCell ref="X195:AD195"/>
    <mergeCell ref="B200:M200"/>
    <mergeCell ref="S200:T200"/>
    <mergeCell ref="B201:M201"/>
    <mergeCell ref="S201:T201"/>
    <mergeCell ref="B198:M198"/>
    <mergeCell ref="S198:T198"/>
    <mergeCell ref="B199:M199"/>
    <mergeCell ref="S199:T199"/>
    <mergeCell ref="B196:M196"/>
    <mergeCell ref="S196:T196"/>
    <mergeCell ref="B197:M197"/>
    <mergeCell ref="S197:T197"/>
    <mergeCell ref="X196:AD196"/>
    <mergeCell ref="X197:AD197"/>
    <mergeCell ref="X198:AD198"/>
    <mergeCell ref="X199:AD199"/>
    <mergeCell ref="X200:AD200"/>
    <mergeCell ref="B210:M210"/>
    <mergeCell ref="S210:T210"/>
    <mergeCell ref="B211:M211"/>
    <mergeCell ref="S211:T211"/>
    <mergeCell ref="B208:M208"/>
    <mergeCell ref="S208:T208"/>
    <mergeCell ref="B209:M209"/>
    <mergeCell ref="S209:T209"/>
    <mergeCell ref="X208:AD208"/>
    <mergeCell ref="X209:AD209"/>
    <mergeCell ref="X210:AD210"/>
    <mergeCell ref="X211:AD211"/>
    <mergeCell ref="X212:AD212"/>
    <mergeCell ref="X213:AD213"/>
    <mergeCell ref="B206:M206"/>
    <mergeCell ref="S206:T206"/>
    <mergeCell ref="B207:M207"/>
    <mergeCell ref="S207:T207"/>
    <mergeCell ref="B216:M216"/>
    <mergeCell ref="S216:T216"/>
    <mergeCell ref="B217:M217"/>
    <mergeCell ref="S217:T217"/>
    <mergeCell ref="B214:M214"/>
    <mergeCell ref="S214:T214"/>
    <mergeCell ref="B215:M215"/>
    <mergeCell ref="S215:T215"/>
    <mergeCell ref="X214:AD214"/>
    <mergeCell ref="X215:AD215"/>
    <mergeCell ref="X216:AD216"/>
    <mergeCell ref="X217:AD217"/>
    <mergeCell ref="X218:AD218"/>
    <mergeCell ref="X219:AD219"/>
    <mergeCell ref="B212:M212"/>
    <mergeCell ref="S212:T212"/>
    <mergeCell ref="B213:M213"/>
    <mergeCell ref="S213:T213"/>
    <mergeCell ref="B222:M222"/>
    <mergeCell ref="S222:T222"/>
    <mergeCell ref="B223:M223"/>
    <mergeCell ref="S223:T223"/>
    <mergeCell ref="B220:M220"/>
    <mergeCell ref="S220:T220"/>
    <mergeCell ref="B221:M221"/>
    <mergeCell ref="S221:T221"/>
    <mergeCell ref="X220:AD220"/>
    <mergeCell ref="X221:AD221"/>
    <mergeCell ref="X222:AD222"/>
    <mergeCell ref="X223:AD223"/>
    <mergeCell ref="X224:AD224"/>
    <mergeCell ref="X225:AD225"/>
    <mergeCell ref="B218:M218"/>
    <mergeCell ref="S218:T218"/>
    <mergeCell ref="B219:M219"/>
    <mergeCell ref="S219:T219"/>
    <mergeCell ref="B228:M228"/>
    <mergeCell ref="S228:T228"/>
    <mergeCell ref="B229:M229"/>
    <mergeCell ref="S229:T229"/>
    <mergeCell ref="B226:M226"/>
    <mergeCell ref="S226:T226"/>
    <mergeCell ref="B227:M227"/>
    <mergeCell ref="S227:T227"/>
    <mergeCell ref="X226:AD226"/>
    <mergeCell ref="X227:AD227"/>
    <mergeCell ref="X228:AD228"/>
    <mergeCell ref="X229:AD229"/>
    <mergeCell ref="X230:AD230"/>
    <mergeCell ref="X231:AD231"/>
    <mergeCell ref="B224:M224"/>
    <mergeCell ref="S224:T224"/>
    <mergeCell ref="B225:M225"/>
    <mergeCell ref="S225:T225"/>
    <mergeCell ref="B234:M234"/>
    <mergeCell ref="S234:T234"/>
    <mergeCell ref="B235:M235"/>
    <mergeCell ref="S235:T235"/>
    <mergeCell ref="B232:M232"/>
    <mergeCell ref="S232:T232"/>
    <mergeCell ref="B233:M233"/>
    <mergeCell ref="S233:T233"/>
    <mergeCell ref="X232:AD232"/>
    <mergeCell ref="X233:AD233"/>
    <mergeCell ref="X234:AD234"/>
    <mergeCell ref="X235:AD235"/>
    <mergeCell ref="X236:AD236"/>
    <mergeCell ref="X237:AD237"/>
    <mergeCell ref="B230:M230"/>
    <mergeCell ref="S230:T230"/>
    <mergeCell ref="B231:M231"/>
    <mergeCell ref="S231:T231"/>
    <mergeCell ref="B240:M240"/>
    <mergeCell ref="S240:T240"/>
    <mergeCell ref="B241:M241"/>
    <mergeCell ref="S241:T241"/>
    <mergeCell ref="B238:M238"/>
    <mergeCell ref="S238:T238"/>
    <mergeCell ref="B239:M239"/>
    <mergeCell ref="S239:T239"/>
    <mergeCell ref="X238:AD238"/>
    <mergeCell ref="X239:AD239"/>
    <mergeCell ref="X240:AD240"/>
    <mergeCell ref="X241:AD241"/>
    <mergeCell ref="X242:AD242"/>
    <mergeCell ref="X243:AD243"/>
    <mergeCell ref="B236:M236"/>
    <mergeCell ref="S236:T236"/>
    <mergeCell ref="B237:M237"/>
    <mergeCell ref="S237:T237"/>
    <mergeCell ref="B246:M246"/>
    <mergeCell ref="S246:T246"/>
    <mergeCell ref="B247:M247"/>
    <mergeCell ref="S247:T247"/>
    <mergeCell ref="B244:M244"/>
    <mergeCell ref="S244:T244"/>
    <mergeCell ref="B245:M245"/>
    <mergeCell ref="S245:T245"/>
    <mergeCell ref="X244:AD244"/>
    <mergeCell ref="X245:AD245"/>
    <mergeCell ref="X246:AD246"/>
    <mergeCell ref="X247:AD247"/>
    <mergeCell ref="X248:AD248"/>
    <mergeCell ref="X249:AD249"/>
    <mergeCell ref="B242:M242"/>
    <mergeCell ref="S242:T242"/>
    <mergeCell ref="B243:M243"/>
    <mergeCell ref="S243:T243"/>
    <mergeCell ref="B252:M252"/>
    <mergeCell ref="S252:T252"/>
    <mergeCell ref="B253:M253"/>
    <mergeCell ref="S253:T253"/>
    <mergeCell ref="B250:M250"/>
    <mergeCell ref="S250:T250"/>
    <mergeCell ref="B251:M251"/>
    <mergeCell ref="S251:T251"/>
    <mergeCell ref="X250:AD250"/>
    <mergeCell ref="X251:AD251"/>
    <mergeCell ref="X252:AD252"/>
    <mergeCell ref="X253:AD253"/>
    <mergeCell ref="X254:AD254"/>
    <mergeCell ref="X255:AD255"/>
    <mergeCell ref="B248:M248"/>
    <mergeCell ref="S248:T248"/>
    <mergeCell ref="B249:M249"/>
    <mergeCell ref="S249:T249"/>
    <mergeCell ref="B258:M258"/>
    <mergeCell ref="S258:T258"/>
    <mergeCell ref="B259:M259"/>
    <mergeCell ref="S259:T259"/>
    <mergeCell ref="B256:M256"/>
    <mergeCell ref="S256:T256"/>
    <mergeCell ref="B257:M257"/>
    <mergeCell ref="S257:T257"/>
    <mergeCell ref="X256:AD256"/>
    <mergeCell ref="X257:AD257"/>
    <mergeCell ref="X258:AD258"/>
    <mergeCell ref="X259:AD259"/>
    <mergeCell ref="X260:AD260"/>
    <mergeCell ref="X261:AD261"/>
    <mergeCell ref="B254:M254"/>
    <mergeCell ref="S254:T254"/>
    <mergeCell ref="B255:M255"/>
    <mergeCell ref="S255:T255"/>
    <mergeCell ref="B264:M264"/>
    <mergeCell ref="S264:T264"/>
    <mergeCell ref="B265:M265"/>
    <mergeCell ref="S265:T265"/>
    <mergeCell ref="B262:M262"/>
    <mergeCell ref="S262:T262"/>
    <mergeCell ref="B263:M263"/>
    <mergeCell ref="S263:T263"/>
    <mergeCell ref="X262:AD262"/>
    <mergeCell ref="X263:AD263"/>
    <mergeCell ref="X264:AD264"/>
    <mergeCell ref="X265:AD265"/>
    <mergeCell ref="X266:AD266"/>
    <mergeCell ref="X267:AD267"/>
    <mergeCell ref="B260:M260"/>
    <mergeCell ref="S260:T260"/>
    <mergeCell ref="B261:M261"/>
    <mergeCell ref="S261:T261"/>
    <mergeCell ref="B270:M270"/>
    <mergeCell ref="S270:T270"/>
    <mergeCell ref="B271:M271"/>
    <mergeCell ref="S271:T271"/>
    <mergeCell ref="B268:M268"/>
    <mergeCell ref="S268:T268"/>
    <mergeCell ref="B269:M269"/>
    <mergeCell ref="S269:T269"/>
    <mergeCell ref="X268:AD268"/>
    <mergeCell ref="X269:AD269"/>
    <mergeCell ref="X270:AD270"/>
    <mergeCell ref="X271:AD271"/>
    <mergeCell ref="X272:AD272"/>
    <mergeCell ref="X273:AD273"/>
    <mergeCell ref="B266:M266"/>
    <mergeCell ref="S266:T266"/>
    <mergeCell ref="B267:M267"/>
    <mergeCell ref="S267:T267"/>
    <mergeCell ref="B276:M276"/>
    <mergeCell ref="S276:T276"/>
    <mergeCell ref="B277:M277"/>
    <mergeCell ref="S277:T277"/>
    <mergeCell ref="B274:M274"/>
    <mergeCell ref="S274:T274"/>
    <mergeCell ref="B275:M275"/>
    <mergeCell ref="S275:T275"/>
    <mergeCell ref="X274:AD274"/>
    <mergeCell ref="X275:AD275"/>
    <mergeCell ref="X276:AD276"/>
    <mergeCell ref="X277:AD277"/>
    <mergeCell ref="X278:AD278"/>
    <mergeCell ref="X279:AD279"/>
    <mergeCell ref="B272:M272"/>
    <mergeCell ref="S272:T272"/>
    <mergeCell ref="B273:M273"/>
    <mergeCell ref="S273:T273"/>
    <mergeCell ref="B282:M282"/>
    <mergeCell ref="S282:T282"/>
    <mergeCell ref="B283:M283"/>
    <mergeCell ref="S283:T283"/>
    <mergeCell ref="B280:M280"/>
    <mergeCell ref="S280:T280"/>
    <mergeCell ref="B281:M281"/>
    <mergeCell ref="S281:T281"/>
    <mergeCell ref="X280:AD280"/>
    <mergeCell ref="X281:AD281"/>
    <mergeCell ref="X282:AD282"/>
    <mergeCell ref="X283:AD283"/>
    <mergeCell ref="X284:AD284"/>
    <mergeCell ref="X285:AD285"/>
    <mergeCell ref="B278:M278"/>
    <mergeCell ref="S278:T278"/>
    <mergeCell ref="B279:M279"/>
    <mergeCell ref="S279:T279"/>
    <mergeCell ref="B288:M288"/>
    <mergeCell ref="S288:T288"/>
    <mergeCell ref="B289:M289"/>
    <mergeCell ref="S289:T289"/>
    <mergeCell ref="B286:M286"/>
    <mergeCell ref="S286:T286"/>
    <mergeCell ref="B287:M287"/>
    <mergeCell ref="S287:T287"/>
    <mergeCell ref="X286:AD286"/>
    <mergeCell ref="X287:AD287"/>
    <mergeCell ref="X288:AD288"/>
    <mergeCell ref="X289:AD289"/>
    <mergeCell ref="X290:AD290"/>
    <mergeCell ref="X291:AD291"/>
    <mergeCell ref="B284:M284"/>
    <mergeCell ref="S284:T284"/>
    <mergeCell ref="B285:M285"/>
    <mergeCell ref="S285:T285"/>
    <mergeCell ref="B294:M294"/>
    <mergeCell ref="S294:T294"/>
    <mergeCell ref="B295:M295"/>
    <mergeCell ref="S295:T295"/>
    <mergeCell ref="B292:M292"/>
    <mergeCell ref="S292:T292"/>
    <mergeCell ref="B293:M293"/>
    <mergeCell ref="S293:T293"/>
    <mergeCell ref="X292:AD292"/>
    <mergeCell ref="X293:AD293"/>
    <mergeCell ref="X294:AD294"/>
    <mergeCell ref="X295:AD295"/>
    <mergeCell ref="X296:AD296"/>
    <mergeCell ref="X297:AD297"/>
    <mergeCell ref="B290:M290"/>
    <mergeCell ref="S290:T290"/>
    <mergeCell ref="B291:M291"/>
    <mergeCell ref="S291:T291"/>
    <mergeCell ref="B300:M300"/>
    <mergeCell ref="S300:T300"/>
    <mergeCell ref="B301:M301"/>
    <mergeCell ref="S301:T301"/>
    <mergeCell ref="B298:M298"/>
    <mergeCell ref="S298:T298"/>
    <mergeCell ref="B299:M299"/>
    <mergeCell ref="S299:T299"/>
    <mergeCell ref="X298:AD298"/>
    <mergeCell ref="X299:AD299"/>
    <mergeCell ref="X300:AD300"/>
    <mergeCell ref="X301:AD301"/>
    <mergeCell ref="X302:AD302"/>
    <mergeCell ref="X303:AD303"/>
    <mergeCell ref="B296:M296"/>
    <mergeCell ref="S296:T296"/>
    <mergeCell ref="B297:M297"/>
    <mergeCell ref="S297:T297"/>
    <mergeCell ref="B306:M306"/>
    <mergeCell ref="S306:T306"/>
    <mergeCell ref="B307:M307"/>
    <mergeCell ref="S307:T307"/>
    <mergeCell ref="B304:M304"/>
    <mergeCell ref="S304:T304"/>
    <mergeCell ref="B305:M305"/>
    <mergeCell ref="S305:T305"/>
    <mergeCell ref="X304:AD304"/>
    <mergeCell ref="X305:AD305"/>
    <mergeCell ref="X306:AD306"/>
    <mergeCell ref="X307:AD307"/>
    <mergeCell ref="X308:AD308"/>
    <mergeCell ref="X309:AD309"/>
    <mergeCell ref="B302:M302"/>
    <mergeCell ref="S302:T302"/>
    <mergeCell ref="B303:M303"/>
    <mergeCell ref="S303:T303"/>
    <mergeCell ref="B312:M312"/>
    <mergeCell ref="S312:T312"/>
    <mergeCell ref="B313:M313"/>
    <mergeCell ref="S313:T313"/>
    <mergeCell ref="B310:M310"/>
    <mergeCell ref="S310:T310"/>
    <mergeCell ref="B311:M311"/>
    <mergeCell ref="S311:T311"/>
    <mergeCell ref="X310:AD310"/>
    <mergeCell ref="X311:AD311"/>
    <mergeCell ref="X312:AD312"/>
    <mergeCell ref="X313:AD313"/>
    <mergeCell ref="X314:AD314"/>
    <mergeCell ref="X315:AD315"/>
    <mergeCell ref="B308:M308"/>
    <mergeCell ref="S308:T308"/>
    <mergeCell ref="B309:M309"/>
    <mergeCell ref="S309:T309"/>
    <mergeCell ref="B318:M318"/>
    <mergeCell ref="S318:T318"/>
    <mergeCell ref="B319:M319"/>
    <mergeCell ref="S319:T319"/>
    <mergeCell ref="B316:M316"/>
    <mergeCell ref="S316:T316"/>
    <mergeCell ref="B317:M317"/>
    <mergeCell ref="S317:T317"/>
    <mergeCell ref="X316:AD316"/>
    <mergeCell ref="X317:AD317"/>
    <mergeCell ref="X318:AD318"/>
    <mergeCell ref="X319:AD319"/>
    <mergeCell ref="X320:AD320"/>
    <mergeCell ref="X321:AD321"/>
    <mergeCell ref="B314:M314"/>
    <mergeCell ref="S314:T314"/>
    <mergeCell ref="B315:M315"/>
    <mergeCell ref="S315:T315"/>
    <mergeCell ref="B324:M324"/>
    <mergeCell ref="S324:T324"/>
    <mergeCell ref="B325:M325"/>
    <mergeCell ref="S325:T325"/>
    <mergeCell ref="B322:M322"/>
    <mergeCell ref="S322:T322"/>
    <mergeCell ref="B323:M323"/>
    <mergeCell ref="S323:T323"/>
    <mergeCell ref="X322:AD322"/>
    <mergeCell ref="X323:AD323"/>
    <mergeCell ref="X324:AD324"/>
    <mergeCell ref="X325:AD325"/>
    <mergeCell ref="X326:AD326"/>
    <mergeCell ref="X327:AD327"/>
    <mergeCell ref="B320:M320"/>
    <mergeCell ref="S320:T320"/>
    <mergeCell ref="B321:M321"/>
    <mergeCell ref="S321:T321"/>
    <mergeCell ref="B330:M330"/>
    <mergeCell ref="S330:T330"/>
    <mergeCell ref="B331:M331"/>
    <mergeCell ref="S331:T331"/>
    <mergeCell ref="B328:M328"/>
    <mergeCell ref="S328:T328"/>
    <mergeCell ref="B329:M329"/>
    <mergeCell ref="S329:T329"/>
    <mergeCell ref="X328:AD328"/>
    <mergeCell ref="X329:AD329"/>
    <mergeCell ref="X330:AD330"/>
    <mergeCell ref="X331:AD331"/>
    <mergeCell ref="X332:AD332"/>
    <mergeCell ref="X333:AD333"/>
    <mergeCell ref="B326:M326"/>
    <mergeCell ref="S326:T326"/>
    <mergeCell ref="B327:M327"/>
    <mergeCell ref="S327:T327"/>
    <mergeCell ref="B336:M336"/>
    <mergeCell ref="S336:T336"/>
    <mergeCell ref="B337:M337"/>
    <mergeCell ref="S337:T337"/>
    <mergeCell ref="B334:M334"/>
    <mergeCell ref="S334:T334"/>
    <mergeCell ref="B335:M335"/>
    <mergeCell ref="S335:T335"/>
    <mergeCell ref="X334:AD334"/>
    <mergeCell ref="X335:AD335"/>
    <mergeCell ref="X336:AD336"/>
    <mergeCell ref="X337:AD337"/>
    <mergeCell ref="X338:AD338"/>
    <mergeCell ref="X339:AD339"/>
    <mergeCell ref="B332:M332"/>
    <mergeCell ref="S332:T332"/>
    <mergeCell ref="B333:M333"/>
    <mergeCell ref="S333:T333"/>
    <mergeCell ref="B342:M342"/>
    <mergeCell ref="S342:T342"/>
    <mergeCell ref="B343:M343"/>
    <mergeCell ref="S343:T343"/>
    <mergeCell ref="B340:M340"/>
    <mergeCell ref="S340:T340"/>
    <mergeCell ref="B341:M341"/>
    <mergeCell ref="S341:T341"/>
    <mergeCell ref="X340:AD340"/>
    <mergeCell ref="X341:AD341"/>
    <mergeCell ref="X342:AD342"/>
    <mergeCell ref="X343:AD343"/>
    <mergeCell ref="X344:AD344"/>
    <mergeCell ref="X345:AD345"/>
    <mergeCell ref="B338:M338"/>
    <mergeCell ref="S338:T338"/>
    <mergeCell ref="B339:M339"/>
    <mergeCell ref="S339:T339"/>
    <mergeCell ref="B348:M348"/>
    <mergeCell ref="S348:T348"/>
    <mergeCell ref="B349:M349"/>
    <mergeCell ref="S349:T349"/>
    <mergeCell ref="B346:M346"/>
    <mergeCell ref="S346:T346"/>
    <mergeCell ref="B347:M347"/>
    <mergeCell ref="S347:T347"/>
    <mergeCell ref="X346:AD346"/>
    <mergeCell ref="X347:AD347"/>
    <mergeCell ref="X348:AD348"/>
    <mergeCell ref="X349:AD349"/>
    <mergeCell ref="X350:AD350"/>
    <mergeCell ref="X351:AD351"/>
    <mergeCell ref="B344:M344"/>
    <mergeCell ref="S344:T344"/>
    <mergeCell ref="B345:M345"/>
    <mergeCell ref="S345:T345"/>
    <mergeCell ref="B354:M354"/>
    <mergeCell ref="S354:T354"/>
    <mergeCell ref="B355:M355"/>
    <mergeCell ref="S355:T355"/>
    <mergeCell ref="B352:M352"/>
    <mergeCell ref="S352:T352"/>
    <mergeCell ref="B353:M353"/>
    <mergeCell ref="S353:T353"/>
    <mergeCell ref="X352:AD352"/>
    <mergeCell ref="X353:AD353"/>
    <mergeCell ref="X354:AD354"/>
    <mergeCell ref="X355:AD355"/>
    <mergeCell ref="X356:AD356"/>
    <mergeCell ref="X357:AD357"/>
    <mergeCell ref="B350:M350"/>
    <mergeCell ref="S350:T350"/>
    <mergeCell ref="B351:M351"/>
    <mergeCell ref="S351:T351"/>
    <mergeCell ref="B360:M360"/>
    <mergeCell ref="S360:T360"/>
    <mergeCell ref="B361:M361"/>
    <mergeCell ref="S361:T361"/>
    <mergeCell ref="B358:M358"/>
    <mergeCell ref="S358:T358"/>
    <mergeCell ref="B359:M359"/>
    <mergeCell ref="S359:T359"/>
    <mergeCell ref="X358:AD358"/>
    <mergeCell ref="X359:AD359"/>
    <mergeCell ref="X360:AD360"/>
    <mergeCell ref="X361:AD361"/>
    <mergeCell ref="X362:AD362"/>
    <mergeCell ref="X363:AD363"/>
    <mergeCell ref="B356:M356"/>
    <mergeCell ref="S356:T356"/>
    <mergeCell ref="B357:M357"/>
    <mergeCell ref="S357:T357"/>
    <mergeCell ref="B366:M366"/>
    <mergeCell ref="S366:T366"/>
    <mergeCell ref="B367:M367"/>
    <mergeCell ref="S367:T367"/>
    <mergeCell ref="B364:M364"/>
    <mergeCell ref="S364:T364"/>
    <mergeCell ref="B365:M365"/>
    <mergeCell ref="S365:T365"/>
    <mergeCell ref="X364:AD364"/>
    <mergeCell ref="X365:AD365"/>
    <mergeCell ref="X366:AD366"/>
    <mergeCell ref="X367:AD367"/>
    <mergeCell ref="X368:AD368"/>
    <mergeCell ref="X369:AD369"/>
    <mergeCell ref="B362:M362"/>
    <mergeCell ref="S362:T362"/>
    <mergeCell ref="B363:M363"/>
    <mergeCell ref="S363:T363"/>
    <mergeCell ref="B372:M372"/>
    <mergeCell ref="S372:T372"/>
    <mergeCell ref="B373:M373"/>
    <mergeCell ref="S373:T373"/>
    <mergeCell ref="B370:M370"/>
    <mergeCell ref="S370:T370"/>
    <mergeCell ref="B371:M371"/>
    <mergeCell ref="S371:T371"/>
    <mergeCell ref="X370:AD370"/>
    <mergeCell ref="X371:AD371"/>
    <mergeCell ref="X372:AD372"/>
    <mergeCell ref="X373:AD373"/>
    <mergeCell ref="X374:AD374"/>
    <mergeCell ref="X375:AD375"/>
    <mergeCell ref="B368:M368"/>
    <mergeCell ref="S368:T368"/>
    <mergeCell ref="B369:M369"/>
    <mergeCell ref="S369:T369"/>
    <mergeCell ref="B378:M378"/>
    <mergeCell ref="S378:T378"/>
    <mergeCell ref="B379:M379"/>
    <mergeCell ref="S379:T379"/>
    <mergeCell ref="B376:M376"/>
    <mergeCell ref="S376:T376"/>
    <mergeCell ref="B377:M377"/>
    <mergeCell ref="S377:T377"/>
    <mergeCell ref="X376:AD376"/>
    <mergeCell ref="X377:AD377"/>
    <mergeCell ref="X378:AD378"/>
    <mergeCell ref="X379:AD379"/>
    <mergeCell ref="X380:AD380"/>
    <mergeCell ref="X381:AD381"/>
    <mergeCell ref="B374:M374"/>
    <mergeCell ref="S374:T374"/>
    <mergeCell ref="B375:M375"/>
    <mergeCell ref="S375:T375"/>
    <mergeCell ref="B384:M384"/>
    <mergeCell ref="S384:T384"/>
    <mergeCell ref="B385:M385"/>
    <mergeCell ref="S385:T385"/>
    <mergeCell ref="B382:M382"/>
    <mergeCell ref="S382:T382"/>
    <mergeCell ref="B383:M383"/>
    <mergeCell ref="S383:T383"/>
    <mergeCell ref="X382:AD382"/>
    <mergeCell ref="X383:AD383"/>
    <mergeCell ref="X384:AD384"/>
    <mergeCell ref="X385:AD385"/>
    <mergeCell ref="X386:AD386"/>
    <mergeCell ref="X387:AD387"/>
    <mergeCell ref="B380:M380"/>
    <mergeCell ref="S380:T380"/>
    <mergeCell ref="B381:M381"/>
    <mergeCell ref="S381:T381"/>
    <mergeCell ref="B390:M390"/>
    <mergeCell ref="S390:T390"/>
    <mergeCell ref="B391:M391"/>
    <mergeCell ref="S391:T391"/>
    <mergeCell ref="B388:M388"/>
    <mergeCell ref="S388:T388"/>
    <mergeCell ref="B389:M389"/>
    <mergeCell ref="S389:T389"/>
    <mergeCell ref="X388:AD388"/>
    <mergeCell ref="X389:AD389"/>
    <mergeCell ref="X390:AD390"/>
    <mergeCell ref="X391:AD391"/>
    <mergeCell ref="X392:AD392"/>
    <mergeCell ref="X393:AD393"/>
    <mergeCell ref="B386:M386"/>
    <mergeCell ref="S386:T386"/>
    <mergeCell ref="B387:M387"/>
    <mergeCell ref="S387:T387"/>
    <mergeCell ref="B396:M396"/>
    <mergeCell ref="S396:T396"/>
    <mergeCell ref="B397:M397"/>
    <mergeCell ref="S397:T397"/>
    <mergeCell ref="B394:M394"/>
    <mergeCell ref="S394:T394"/>
    <mergeCell ref="B395:M395"/>
    <mergeCell ref="S395:T395"/>
    <mergeCell ref="X394:AD394"/>
    <mergeCell ref="X395:AD395"/>
    <mergeCell ref="X396:AD396"/>
    <mergeCell ref="X397:AD397"/>
    <mergeCell ref="X398:AD398"/>
    <mergeCell ref="X399:AD399"/>
    <mergeCell ref="B392:M392"/>
    <mergeCell ref="S392:T392"/>
    <mergeCell ref="B393:M393"/>
    <mergeCell ref="S393:T393"/>
    <mergeCell ref="B402:M402"/>
    <mergeCell ref="S402:T402"/>
    <mergeCell ref="B403:M403"/>
    <mergeCell ref="S403:T403"/>
    <mergeCell ref="B400:M400"/>
    <mergeCell ref="S400:T400"/>
    <mergeCell ref="B401:M401"/>
    <mergeCell ref="S401:T401"/>
    <mergeCell ref="X400:AD400"/>
    <mergeCell ref="X401:AD401"/>
    <mergeCell ref="X402:AD402"/>
    <mergeCell ref="X403:AD403"/>
    <mergeCell ref="X404:AD404"/>
    <mergeCell ref="X405:AD405"/>
    <mergeCell ref="B398:M398"/>
    <mergeCell ref="S398:T398"/>
    <mergeCell ref="B399:M399"/>
    <mergeCell ref="S399:T399"/>
    <mergeCell ref="B408:M408"/>
    <mergeCell ref="S408:T408"/>
    <mergeCell ref="B409:M409"/>
    <mergeCell ref="S409:T409"/>
    <mergeCell ref="B406:M406"/>
    <mergeCell ref="S406:T406"/>
    <mergeCell ref="B407:M407"/>
    <mergeCell ref="S407:T407"/>
    <mergeCell ref="X406:AD406"/>
    <mergeCell ref="X407:AD407"/>
    <mergeCell ref="X408:AD408"/>
    <mergeCell ref="X409:AD409"/>
    <mergeCell ref="X410:AD410"/>
    <mergeCell ref="X411:AD411"/>
    <mergeCell ref="B404:M404"/>
    <mergeCell ref="S404:T404"/>
    <mergeCell ref="B405:M405"/>
    <mergeCell ref="S405:T405"/>
    <mergeCell ref="B414:M414"/>
    <mergeCell ref="S414:T414"/>
    <mergeCell ref="B415:M415"/>
    <mergeCell ref="S415:T415"/>
    <mergeCell ref="B412:M412"/>
    <mergeCell ref="S412:T412"/>
    <mergeCell ref="B413:M413"/>
    <mergeCell ref="S413:T413"/>
    <mergeCell ref="X412:AD412"/>
    <mergeCell ref="X413:AD413"/>
    <mergeCell ref="X414:AD414"/>
    <mergeCell ref="X415:AD415"/>
    <mergeCell ref="X416:AD416"/>
    <mergeCell ref="X417:AD417"/>
    <mergeCell ref="B410:M410"/>
    <mergeCell ref="S410:T410"/>
    <mergeCell ref="B411:M411"/>
    <mergeCell ref="S411:T411"/>
    <mergeCell ref="B420:M420"/>
    <mergeCell ref="S420:T420"/>
    <mergeCell ref="B421:M421"/>
    <mergeCell ref="S421:T421"/>
    <mergeCell ref="B418:M418"/>
    <mergeCell ref="S418:T418"/>
    <mergeCell ref="B419:M419"/>
    <mergeCell ref="S419:T419"/>
    <mergeCell ref="X418:AD418"/>
    <mergeCell ref="X419:AD419"/>
    <mergeCell ref="X420:AD420"/>
    <mergeCell ref="X421:AD421"/>
    <mergeCell ref="X422:AD422"/>
    <mergeCell ref="X423:AD423"/>
    <mergeCell ref="B416:M416"/>
    <mergeCell ref="S416:T416"/>
    <mergeCell ref="B417:M417"/>
    <mergeCell ref="S417:T417"/>
    <mergeCell ref="B426:M426"/>
    <mergeCell ref="S426:T426"/>
    <mergeCell ref="B427:M427"/>
    <mergeCell ref="S427:T427"/>
    <mergeCell ref="B424:M424"/>
    <mergeCell ref="S424:T424"/>
    <mergeCell ref="B425:M425"/>
    <mergeCell ref="S425:T425"/>
    <mergeCell ref="X424:AD424"/>
    <mergeCell ref="X425:AD425"/>
    <mergeCell ref="X426:AD426"/>
    <mergeCell ref="X427:AD427"/>
    <mergeCell ref="X428:AD428"/>
    <mergeCell ref="X429:AD429"/>
    <mergeCell ref="B422:M422"/>
    <mergeCell ref="S422:T422"/>
    <mergeCell ref="B423:M423"/>
    <mergeCell ref="S423:T423"/>
    <mergeCell ref="B432:M432"/>
    <mergeCell ref="S432:T432"/>
    <mergeCell ref="B433:M433"/>
    <mergeCell ref="S433:T433"/>
    <mergeCell ref="B430:M430"/>
    <mergeCell ref="S430:T430"/>
    <mergeCell ref="B431:M431"/>
    <mergeCell ref="S431:T431"/>
    <mergeCell ref="X430:AD430"/>
    <mergeCell ref="X431:AD431"/>
    <mergeCell ref="X432:AD432"/>
    <mergeCell ref="X433:AD433"/>
    <mergeCell ref="X434:AD434"/>
    <mergeCell ref="X435:AD435"/>
    <mergeCell ref="B428:M428"/>
    <mergeCell ref="S428:T428"/>
    <mergeCell ref="B429:M429"/>
    <mergeCell ref="S429:T429"/>
    <mergeCell ref="B438:M438"/>
    <mergeCell ref="S438:T438"/>
    <mergeCell ref="B439:M439"/>
    <mergeCell ref="S439:T439"/>
    <mergeCell ref="B436:M436"/>
    <mergeCell ref="S436:T436"/>
    <mergeCell ref="B437:M437"/>
    <mergeCell ref="S437:T437"/>
    <mergeCell ref="X436:AD436"/>
    <mergeCell ref="X437:AD437"/>
    <mergeCell ref="X438:AD438"/>
    <mergeCell ref="X439:AD439"/>
    <mergeCell ref="X440:AD440"/>
    <mergeCell ref="X441:AD441"/>
    <mergeCell ref="B434:M434"/>
    <mergeCell ref="S434:T434"/>
    <mergeCell ref="B435:M435"/>
    <mergeCell ref="S435:T435"/>
    <mergeCell ref="B444:M444"/>
    <mergeCell ref="S444:T444"/>
    <mergeCell ref="B445:M445"/>
    <mergeCell ref="S445:T445"/>
    <mergeCell ref="B442:M442"/>
    <mergeCell ref="S442:T442"/>
    <mergeCell ref="B443:M443"/>
    <mergeCell ref="S443:T443"/>
    <mergeCell ref="X442:AD442"/>
    <mergeCell ref="X443:AD443"/>
    <mergeCell ref="X444:AD444"/>
    <mergeCell ref="X445:AD445"/>
    <mergeCell ref="X446:AD446"/>
    <mergeCell ref="X447:AD447"/>
    <mergeCell ref="B440:M440"/>
    <mergeCell ref="S440:T440"/>
    <mergeCell ref="B441:M441"/>
    <mergeCell ref="S441:T441"/>
    <mergeCell ref="B450:M450"/>
    <mergeCell ref="S450:T450"/>
    <mergeCell ref="B451:M451"/>
    <mergeCell ref="S451:T451"/>
    <mergeCell ref="B448:M448"/>
    <mergeCell ref="S448:T448"/>
    <mergeCell ref="B449:M449"/>
    <mergeCell ref="S449:T449"/>
    <mergeCell ref="X448:AD448"/>
    <mergeCell ref="X449:AD449"/>
    <mergeCell ref="X450:AD450"/>
    <mergeCell ref="X451:AD451"/>
    <mergeCell ref="X452:AD452"/>
    <mergeCell ref="X453:AD453"/>
    <mergeCell ref="B446:M446"/>
    <mergeCell ref="S446:T446"/>
    <mergeCell ref="B447:M447"/>
    <mergeCell ref="S447:T447"/>
    <mergeCell ref="B456:M456"/>
    <mergeCell ref="S456:T456"/>
    <mergeCell ref="B457:M457"/>
    <mergeCell ref="S457:T457"/>
    <mergeCell ref="B454:M454"/>
    <mergeCell ref="S454:T454"/>
    <mergeCell ref="B455:M455"/>
    <mergeCell ref="S455:T455"/>
    <mergeCell ref="X454:AD454"/>
    <mergeCell ref="X455:AD455"/>
    <mergeCell ref="X456:AD456"/>
    <mergeCell ref="X457:AD457"/>
    <mergeCell ref="X458:AD458"/>
    <mergeCell ref="X459:AD459"/>
    <mergeCell ref="B452:M452"/>
    <mergeCell ref="S452:T452"/>
    <mergeCell ref="B453:M453"/>
    <mergeCell ref="S453:T453"/>
    <mergeCell ref="B462:M462"/>
    <mergeCell ref="S462:T462"/>
    <mergeCell ref="B463:M463"/>
    <mergeCell ref="S463:T463"/>
    <mergeCell ref="B460:M460"/>
    <mergeCell ref="S460:T460"/>
    <mergeCell ref="B461:M461"/>
    <mergeCell ref="S461:T461"/>
    <mergeCell ref="X460:AD460"/>
    <mergeCell ref="X461:AD461"/>
    <mergeCell ref="X462:AD462"/>
    <mergeCell ref="X463:AD463"/>
    <mergeCell ref="X464:AD464"/>
    <mergeCell ref="X465:AD465"/>
    <mergeCell ref="B458:M458"/>
    <mergeCell ref="S458:T458"/>
    <mergeCell ref="B459:M459"/>
    <mergeCell ref="S459:T459"/>
    <mergeCell ref="B468:M468"/>
    <mergeCell ref="S468:T468"/>
    <mergeCell ref="B469:M469"/>
    <mergeCell ref="S469:T469"/>
    <mergeCell ref="B466:M466"/>
    <mergeCell ref="S466:T466"/>
    <mergeCell ref="B467:M467"/>
    <mergeCell ref="S467:T467"/>
    <mergeCell ref="X466:AD466"/>
    <mergeCell ref="X467:AD467"/>
    <mergeCell ref="X468:AD468"/>
    <mergeCell ref="X469:AD469"/>
    <mergeCell ref="X470:AD470"/>
    <mergeCell ref="X471:AD471"/>
    <mergeCell ref="B464:M464"/>
    <mergeCell ref="S464:T464"/>
    <mergeCell ref="B465:M465"/>
    <mergeCell ref="S465:T465"/>
    <mergeCell ref="B474:M474"/>
    <mergeCell ref="S474:T474"/>
    <mergeCell ref="B475:M475"/>
    <mergeCell ref="S475:T475"/>
    <mergeCell ref="B472:M472"/>
    <mergeCell ref="S472:T472"/>
    <mergeCell ref="B473:M473"/>
    <mergeCell ref="S473:T473"/>
    <mergeCell ref="X472:AD472"/>
    <mergeCell ref="X473:AD473"/>
    <mergeCell ref="X474:AD474"/>
    <mergeCell ref="X475:AD475"/>
    <mergeCell ref="X476:AD476"/>
    <mergeCell ref="X477:AD477"/>
    <mergeCell ref="B470:M470"/>
    <mergeCell ref="S470:T470"/>
    <mergeCell ref="B471:M471"/>
    <mergeCell ref="S471:T471"/>
    <mergeCell ref="B480:M480"/>
    <mergeCell ref="S480:T480"/>
    <mergeCell ref="B481:M481"/>
    <mergeCell ref="S481:T481"/>
    <mergeCell ref="B478:M478"/>
    <mergeCell ref="S478:T478"/>
    <mergeCell ref="B479:M479"/>
    <mergeCell ref="S479:T479"/>
    <mergeCell ref="X478:AD478"/>
    <mergeCell ref="X479:AD479"/>
    <mergeCell ref="X480:AD480"/>
    <mergeCell ref="X481:AD481"/>
    <mergeCell ref="X482:AD482"/>
    <mergeCell ref="X483:AD483"/>
    <mergeCell ref="B476:M476"/>
    <mergeCell ref="S476:T476"/>
    <mergeCell ref="B477:M477"/>
    <mergeCell ref="S477:T477"/>
    <mergeCell ref="B486:M486"/>
    <mergeCell ref="S486:T486"/>
    <mergeCell ref="B487:M487"/>
    <mergeCell ref="S487:T487"/>
    <mergeCell ref="B484:M484"/>
    <mergeCell ref="S484:T484"/>
    <mergeCell ref="B485:M485"/>
    <mergeCell ref="S485:T485"/>
    <mergeCell ref="X484:AD484"/>
    <mergeCell ref="X485:AD485"/>
    <mergeCell ref="X486:AD486"/>
    <mergeCell ref="X487:AD487"/>
    <mergeCell ref="X488:AD488"/>
    <mergeCell ref="X489:AD489"/>
    <mergeCell ref="B482:M482"/>
    <mergeCell ref="S482:T482"/>
    <mergeCell ref="B483:M483"/>
    <mergeCell ref="S483:T483"/>
    <mergeCell ref="B492:M492"/>
    <mergeCell ref="S492:T492"/>
    <mergeCell ref="B493:M493"/>
    <mergeCell ref="S493:T493"/>
    <mergeCell ref="B490:M490"/>
    <mergeCell ref="S490:T490"/>
    <mergeCell ref="B491:M491"/>
    <mergeCell ref="S491:T491"/>
    <mergeCell ref="X490:AD490"/>
    <mergeCell ref="X491:AD491"/>
    <mergeCell ref="X492:AD492"/>
    <mergeCell ref="X493:AD493"/>
    <mergeCell ref="X494:AD494"/>
    <mergeCell ref="X495:AD495"/>
    <mergeCell ref="B488:M488"/>
    <mergeCell ref="S488:T488"/>
    <mergeCell ref="B489:M489"/>
    <mergeCell ref="S489:T489"/>
    <mergeCell ref="B498:M498"/>
    <mergeCell ref="S498:T498"/>
    <mergeCell ref="B499:M499"/>
    <mergeCell ref="S499:T499"/>
    <mergeCell ref="B496:M496"/>
    <mergeCell ref="S496:T496"/>
    <mergeCell ref="B497:M497"/>
    <mergeCell ref="S497:T497"/>
    <mergeCell ref="X496:AD496"/>
    <mergeCell ref="X497:AD497"/>
    <mergeCell ref="X498:AD498"/>
    <mergeCell ref="X499:AD499"/>
    <mergeCell ref="X500:AD500"/>
    <mergeCell ref="X501:AD501"/>
    <mergeCell ref="B494:M494"/>
    <mergeCell ref="S494:T494"/>
    <mergeCell ref="B495:M495"/>
    <mergeCell ref="S495:T495"/>
    <mergeCell ref="B504:M504"/>
    <mergeCell ref="S504:T504"/>
    <mergeCell ref="B505:M505"/>
    <mergeCell ref="S505:T505"/>
    <mergeCell ref="B502:M502"/>
    <mergeCell ref="S502:T502"/>
    <mergeCell ref="B503:M503"/>
    <mergeCell ref="S503:T503"/>
    <mergeCell ref="X502:AD502"/>
    <mergeCell ref="X503:AD503"/>
    <mergeCell ref="X504:AD504"/>
    <mergeCell ref="X505:AD505"/>
    <mergeCell ref="X506:AD506"/>
    <mergeCell ref="X507:AD507"/>
    <mergeCell ref="B500:M500"/>
    <mergeCell ref="S500:T500"/>
    <mergeCell ref="B501:M501"/>
    <mergeCell ref="S501:T501"/>
    <mergeCell ref="B510:M510"/>
    <mergeCell ref="S510:T510"/>
    <mergeCell ref="B511:M511"/>
    <mergeCell ref="S511:T511"/>
    <mergeCell ref="B508:M508"/>
    <mergeCell ref="S508:T508"/>
    <mergeCell ref="B509:M509"/>
    <mergeCell ref="S509:T509"/>
    <mergeCell ref="X508:AD508"/>
    <mergeCell ref="X509:AD509"/>
    <mergeCell ref="X510:AD510"/>
    <mergeCell ref="X511:AD511"/>
    <mergeCell ref="X512:AD512"/>
    <mergeCell ref="X513:AD513"/>
    <mergeCell ref="B506:M506"/>
    <mergeCell ref="S506:T506"/>
    <mergeCell ref="B507:M507"/>
    <mergeCell ref="S507:T507"/>
    <mergeCell ref="B516:M516"/>
    <mergeCell ref="S516:T516"/>
    <mergeCell ref="B517:M517"/>
    <mergeCell ref="S517:T517"/>
    <mergeCell ref="B514:M514"/>
    <mergeCell ref="S514:T514"/>
    <mergeCell ref="B515:M515"/>
    <mergeCell ref="S515:T515"/>
    <mergeCell ref="X514:AD514"/>
    <mergeCell ref="X515:AD515"/>
    <mergeCell ref="X516:AD516"/>
    <mergeCell ref="X517:AD517"/>
    <mergeCell ref="X518:AD518"/>
    <mergeCell ref="X519:AD519"/>
    <mergeCell ref="B512:M512"/>
    <mergeCell ref="S512:T512"/>
    <mergeCell ref="B513:M513"/>
    <mergeCell ref="S513:T513"/>
    <mergeCell ref="B522:M522"/>
    <mergeCell ref="S522:T522"/>
    <mergeCell ref="B523:M523"/>
    <mergeCell ref="S523:T523"/>
    <mergeCell ref="B520:M520"/>
    <mergeCell ref="S520:T520"/>
    <mergeCell ref="B521:M521"/>
    <mergeCell ref="S521:T521"/>
    <mergeCell ref="X520:AD520"/>
    <mergeCell ref="X521:AD521"/>
    <mergeCell ref="X522:AD522"/>
    <mergeCell ref="X523:AD523"/>
    <mergeCell ref="X524:AD524"/>
    <mergeCell ref="X525:AD525"/>
    <mergeCell ref="B518:M518"/>
    <mergeCell ref="S518:T518"/>
    <mergeCell ref="B519:M519"/>
    <mergeCell ref="S519:T519"/>
    <mergeCell ref="B528:M528"/>
    <mergeCell ref="S528:T528"/>
    <mergeCell ref="B529:M529"/>
    <mergeCell ref="S529:T529"/>
    <mergeCell ref="B526:M526"/>
    <mergeCell ref="S526:T526"/>
    <mergeCell ref="B527:M527"/>
    <mergeCell ref="S527:T527"/>
    <mergeCell ref="X526:AD526"/>
    <mergeCell ref="X527:AD527"/>
    <mergeCell ref="X528:AD528"/>
    <mergeCell ref="X529:AD529"/>
    <mergeCell ref="X530:AD530"/>
    <mergeCell ref="X531:AD531"/>
    <mergeCell ref="B524:M524"/>
    <mergeCell ref="S524:T524"/>
    <mergeCell ref="B525:M525"/>
    <mergeCell ref="S525:T525"/>
    <mergeCell ref="B534:M534"/>
    <mergeCell ref="S534:T534"/>
    <mergeCell ref="B535:M535"/>
    <mergeCell ref="S535:T535"/>
    <mergeCell ref="B532:M532"/>
    <mergeCell ref="S532:T532"/>
    <mergeCell ref="B533:M533"/>
    <mergeCell ref="S533:T533"/>
    <mergeCell ref="X532:AD532"/>
    <mergeCell ref="X533:AD533"/>
    <mergeCell ref="X534:AD534"/>
    <mergeCell ref="X535:AD535"/>
    <mergeCell ref="X536:AD536"/>
    <mergeCell ref="X537:AD537"/>
    <mergeCell ref="B530:M530"/>
    <mergeCell ref="S530:T530"/>
    <mergeCell ref="B531:M531"/>
    <mergeCell ref="S531:T531"/>
    <mergeCell ref="B540:M540"/>
    <mergeCell ref="S540:T540"/>
    <mergeCell ref="B541:M541"/>
    <mergeCell ref="S541:T541"/>
    <mergeCell ref="B538:M538"/>
    <mergeCell ref="S538:T538"/>
    <mergeCell ref="B539:M539"/>
    <mergeCell ref="S539:T539"/>
    <mergeCell ref="X538:AD538"/>
    <mergeCell ref="X539:AD539"/>
    <mergeCell ref="X540:AD540"/>
    <mergeCell ref="X541:AD541"/>
    <mergeCell ref="X542:AD542"/>
    <mergeCell ref="X543:AD543"/>
    <mergeCell ref="B536:M536"/>
    <mergeCell ref="S536:T536"/>
    <mergeCell ref="B537:M537"/>
    <mergeCell ref="S537:T537"/>
    <mergeCell ref="B546:M546"/>
    <mergeCell ref="S546:T546"/>
    <mergeCell ref="B547:M547"/>
    <mergeCell ref="S547:T547"/>
    <mergeCell ref="B544:M544"/>
    <mergeCell ref="S544:T544"/>
    <mergeCell ref="B545:M545"/>
    <mergeCell ref="S545:T545"/>
    <mergeCell ref="X544:AD544"/>
    <mergeCell ref="X545:AD545"/>
    <mergeCell ref="X546:AD546"/>
    <mergeCell ref="X547:AD547"/>
    <mergeCell ref="X556:AD556"/>
    <mergeCell ref="B542:M542"/>
    <mergeCell ref="S542:T542"/>
    <mergeCell ref="B543:M543"/>
    <mergeCell ref="S543:T543"/>
    <mergeCell ref="X559:AD559"/>
    <mergeCell ref="X548:AD548"/>
    <mergeCell ref="X549:AD549"/>
    <mergeCell ref="B554:M554"/>
    <mergeCell ref="S554:T554"/>
    <mergeCell ref="B555:M555"/>
    <mergeCell ref="S555:T555"/>
    <mergeCell ref="B552:M552"/>
    <mergeCell ref="S552:T552"/>
    <mergeCell ref="B553:M553"/>
    <mergeCell ref="S553:T553"/>
    <mergeCell ref="B550:M550"/>
    <mergeCell ref="S550:T550"/>
    <mergeCell ref="B551:M551"/>
    <mergeCell ref="S551:T551"/>
    <mergeCell ref="X550:AD550"/>
    <mergeCell ref="X551:AD551"/>
    <mergeCell ref="X552:AD552"/>
    <mergeCell ref="X553:AD553"/>
    <mergeCell ref="B548:M548"/>
    <mergeCell ref="S548:T548"/>
    <mergeCell ref="B549:M549"/>
    <mergeCell ref="S549:T549"/>
    <mergeCell ref="X572:AD572"/>
    <mergeCell ref="X573:AD573"/>
    <mergeCell ref="B564:M564"/>
    <mergeCell ref="S564:T564"/>
    <mergeCell ref="B565:M565"/>
    <mergeCell ref="S565:T565"/>
    <mergeCell ref="B562:M562"/>
    <mergeCell ref="S562:T562"/>
    <mergeCell ref="B563:M563"/>
    <mergeCell ref="S563:T563"/>
    <mergeCell ref="X562:AD562"/>
    <mergeCell ref="X563:AD563"/>
    <mergeCell ref="X564:AD564"/>
    <mergeCell ref="X565:AD565"/>
    <mergeCell ref="X554:AD554"/>
    <mergeCell ref="X555:AD555"/>
    <mergeCell ref="X566:AD566"/>
    <mergeCell ref="X571:AD571"/>
    <mergeCell ref="B560:M560"/>
    <mergeCell ref="S560:T560"/>
    <mergeCell ref="B561:M561"/>
    <mergeCell ref="S561:T561"/>
    <mergeCell ref="B558:M558"/>
    <mergeCell ref="S558:T558"/>
    <mergeCell ref="B559:M559"/>
    <mergeCell ref="S559:T559"/>
    <mergeCell ref="B556:M556"/>
    <mergeCell ref="S556:T556"/>
    <mergeCell ref="B557:M557"/>
    <mergeCell ref="S557:T557"/>
    <mergeCell ref="X557:AD557"/>
    <mergeCell ref="X558:AD558"/>
    <mergeCell ref="B580:M580"/>
    <mergeCell ref="S580:T580"/>
    <mergeCell ref="B581:M581"/>
    <mergeCell ref="S581:T581"/>
    <mergeCell ref="B574:M574"/>
    <mergeCell ref="S574:T574"/>
    <mergeCell ref="B575:M575"/>
    <mergeCell ref="S575:T575"/>
    <mergeCell ref="B576:M576"/>
    <mergeCell ref="S576:T576"/>
    <mergeCell ref="B572:M572"/>
    <mergeCell ref="S572:T572"/>
    <mergeCell ref="B566:M566"/>
    <mergeCell ref="S566:T566"/>
    <mergeCell ref="B571:M571"/>
    <mergeCell ref="S571:T571"/>
    <mergeCell ref="X560:AD560"/>
    <mergeCell ref="X561:AD561"/>
    <mergeCell ref="B567:M567"/>
    <mergeCell ref="S567:T567"/>
    <mergeCell ref="X567:AD567"/>
    <mergeCell ref="B568:M568"/>
    <mergeCell ref="S568:T568"/>
    <mergeCell ref="X568:AD568"/>
    <mergeCell ref="B569:M569"/>
    <mergeCell ref="S569:T569"/>
    <mergeCell ref="X569:AD569"/>
    <mergeCell ref="B570:M570"/>
    <mergeCell ref="S570:T570"/>
    <mergeCell ref="X570:AD570"/>
    <mergeCell ref="B573:M573"/>
    <mergeCell ref="S573:T573"/>
    <mergeCell ref="B579:M579"/>
    <mergeCell ref="S579:T579"/>
    <mergeCell ref="X578:AD578"/>
    <mergeCell ref="X579:AD579"/>
    <mergeCell ref="B578:M578"/>
    <mergeCell ref="S578:T578"/>
    <mergeCell ref="X592:AD592"/>
    <mergeCell ref="X593:AD593"/>
    <mergeCell ref="X594:AD594"/>
    <mergeCell ref="X595:AD595"/>
    <mergeCell ref="X584:AD584"/>
    <mergeCell ref="X585:AD585"/>
    <mergeCell ref="B577:M577"/>
    <mergeCell ref="S577:T577"/>
    <mergeCell ref="X574:AD574"/>
    <mergeCell ref="X575:AD575"/>
    <mergeCell ref="X576:AD576"/>
    <mergeCell ref="X577:AD577"/>
    <mergeCell ref="B583:M583"/>
    <mergeCell ref="S583:T583"/>
    <mergeCell ref="B592:M592"/>
    <mergeCell ref="S592:T592"/>
    <mergeCell ref="B593:M593"/>
    <mergeCell ref="S593:T593"/>
    <mergeCell ref="B584:M584"/>
    <mergeCell ref="S584:T584"/>
    <mergeCell ref="X580:AD580"/>
    <mergeCell ref="X581:AD581"/>
    <mergeCell ref="X582:AD582"/>
    <mergeCell ref="X583:AD583"/>
    <mergeCell ref="B588:M588"/>
    <mergeCell ref="S588:T588"/>
    <mergeCell ref="S599:T599"/>
    <mergeCell ref="S610:T610"/>
    <mergeCell ref="B590:M590"/>
    <mergeCell ref="S590:T590"/>
    <mergeCell ref="B582:M582"/>
    <mergeCell ref="S582:T582"/>
    <mergeCell ref="B586:M586"/>
    <mergeCell ref="S586:T586"/>
    <mergeCell ref="B587:M587"/>
    <mergeCell ref="S587:T587"/>
    <mergeCell ref="B596:M596"/>
    <mergeCell ref="S596:T596"/>
    <mergeCell ref="B585:M585"/>
    <mergeCell ref="S585:T585"/>
    <mergeCell ref="B597:M597"/>
    <mergeCell ref="S597:T597"/>
    <mergeCell ref="X587:AD587"/>
    <mergeCell ref="X588:AD588"/>
    <mergeCell ref="X589:AD589"/>
    <mergeCell ref="B594:M594"/>
    <mergeCell ref="S594:T594"/>
    <mergeCell ref="B595:M595"/>
    <mergeCell ref="S595:T595"/>
    <mergeCell ref="B591:M591"/>
    <mergeCell ref="S591:T591"/>
    <mergeCell ref="X590:AD590"/>
    <mergeCell ref="X591:AD591"/>
    <mergeCell ref="B589:M589"/>
    <mergeCell ref="S589:T589"/>
    <mergeCell ref="X596:AD596"/>
    <mergeCell ref="X597:AD597"/>
    <mergeCell ref="X586:AD586"/>
    <mergeCell ref="X598:AD598"/>
    <mergeCell ref="X599:AD599"/>
    <mergeCell ref="X600:AD600"/>
    <mergeCell ref="X601:AD601"/>
    <mergeCell ref="X610:AD610"/>
    <mergeCell ref="X611:AD611"/>
    <mergeCell ref="X612:AD612"/>
    <mergeCell ref="X613:AD613"/>
    <mergeCell ref="B608:M608"/>
    <mergeCell ref="S608:T608"/>
    <mergeCell ref="B604:M604"/>
    <mergeCell ref="S604:T604"/>
    <mergeCell ref="B605:M605"/>
    <mergeCell ref="S605:T605"/>
    <mergeCell ref="B606:M606"/>
    <mergeCell ref="S606:T606"/>
    <mergeCell ref="B602:M602"/>
    <mergeCell ref="S602:T602"/>
    <mergeCell ref="B603:M603"/>
    <mergeCell ref="S603:T603"/>
    <mergeCell ref="X602:AD602"/>
    <mergeCell ref="X603:AD603"/>
    <mergeCell ref="B600:M600"/>
    <mergeCell ref="S600:T600"/>
    <mergeCell ref="B601:M601"/>
    <mergeCell ref="S601:T601"/>
    <mergeCell ref="B598:M598"/>
    <mergeCell ref="S598:T598"/>
    <mergeCell ref="B599:M599"/>
    <mergeCell ref="S614:T614"/>
    <mergeCell ref="B607:M607"/>
    <mergeCell ref="S607:T607"/>
    <mergeCell ref="B624:M624"/>
    <mergeCell ref="S624:T624"/>
    <mergeCell ref="B625:M625"/>
    <mergeCell ref="S625:T625"/>
    <mergeCell ref="B622:M622"/>
    <mergeCell ref="S622:T622"/>
    <mergeCell ref="B613:M613"/>
    <mergeCell ref="S613:T613"/>
    <mergeCell ref="B610:M610"/>
    <mergeCell ref="B611:M611"/>
    <mergeCell ref="S611:T611"/>
    <mergeCell ref="B609:M609"/>
    <mergeCell ref="S609:T609"/>
    <mergeCell ref="X608:AD608"/>
    <mergeCell ref="X609:AD609"/>
    <mergeCell ref="B636:M636"/>
    <mergeCell ref="S636:T636"/>
    <mergeCell ref="B637:M637"/>
    <mergeCell ref="S637:T637"/>
    <mergeCell ref="B634:M634"/>
    <mergeCell ref="S634:T634"/>
    <mergeCell ref="B635:M635"/>
    <mergeCell ref="S635:T635"/>
    <mergeCell ref="B626:M626"/>
    <mergeCell ref="S626:T626"/>
    <mergeCell ref="B627:M627"/>
    <mergeCell ref="S627:T627"/>
    <mergeCell ref="B615:M615"/>
    <mergeCell ref="S615:T615"/>
    <mergeCell ref="X614:AD614"/>
    <mergeCell ref="X615:AD615"/>
    <mergeCell ref="X604:AD604"/>
    <mergeCell ref="X605:AD605"/>
    <mergeCell ref="X606:AD606"/>
    <mergeCell ref="X607:AD607"/>
    <mergeCell ref="X625:AD625"/>
    <mergeCell ref="B618:M618"/>
    <mergeCell ref="S618:T618"/>
    <mergeCell ref="B619:M619"/>
    <mergeCell ref="S619:T619"/>
    <mergeCell ref="B616:M616"/>
    <mergeCell ref="S616:T616"/>
    <mergeCell ref="B617:M617"/>
    <mergeCell ref="S617:T617"/>
    <mergeCell ref="B612:M612"/>
    <mergeCell ref="S612:T612"/>
    <mergeCell ref="B614:M614"/>
    <mergeCell ref="B654:M654"/>
    <mergeCell ref="S654:T654"/>
    <mergeCell ref="X654:AD654"/>
    <mergeCell ref="B655:M655"/>
    <mergeCell ref="S655:T655"/>
    <mergeCell ref="X655:AD655"/>
    <mergeCell ref="B623:M623"/>
    <mergeCell ref="S623:T623"/>
    <mergeCell ref="X628:AD628"/>
    <mergeCell ref="S638:T638"/>
    <mergeCell ref="B639:M639"/>
    <mergeCell ref="B653:M653"/>
    <mergeCell ref="S653:T653"/>
    <mergeCell ref="B650:M650"/>
    <mergeCell ref="B645:M645"/>
    <mergeCell ref="S645:T645"/>
    <mergeCell ref="X642:AD642"/>
    <mergeCell ref="X643:AD643"/>
    <mergeCell ref="X644:AD644"/>
    <mergeCell ref="X645:AD645"/>
    <mergeCell ref="X652:AD652"/>
    <mergeCell ref="X634:AD634"/>
    <mergeCell ref="X635:AD635"/>
    <mergeCell ref="X636:AD636"/>
    <mergeCell ref="X637:AD637"/>
    <mergeCell ref="B630:M630"/>
    <mergeCell ref="S630:T630"/>
    <mergeCell ref="B631:M631"/>
    <mergeCell ref="S631:T631"/>
    <mergeCell ref="B628:M628"/>
    <mergeCell ref="S628:T628"/>
    <mergeCell ref="B629:M629"/>
    <mergeCell ref="B646:M646"/>
    <mergeCell ref="S646:T646"/>
    <mergeCell ref="B647:M647"/>
    <mergeCell ref="S647:T647"/>
    <mergeCell ref="B644:M644"/>
    <mergeCell ref="S644:T644"/>
    <mergeCell ref="X640:AD640"/>
    <mergeCell ref="X641:AD641"/>
    <mergeCell ref="X646:AD646"/>
    <mergeCell ref="X647:AD647"/>
    <mergeCell ref="X648:AD648"/>
    <mergeCell ref="X649:AD649"/>
    <mergeCell ref="X626:AD626"/>
    <mergeCell ref="X627:AD627"/>
    <mergeCell ref="X616:AD616"/>
    <mergeCell ref="X617:AD617"/>
    <mergeCell ref="X618:AD618"/>
    <mergeCell ref="X619:AD619"/>
    <mergeCell ref="B620:M620"/>
    <mergeCell ref="S620:T620"/>
    <mergeCell ref="B621:M621"/>
    <mergeCell ref="S621:T621"/>
    <mergeCell ref="X620:AD620"/>
    <mergeCell ref="X621:AD621"/>
    <mergeCell ref="S629:T629"/>
    <mergeCell ref="S639:T639"/>
    <mergeCell ref="X638:AD638"/>
    <mergeCell ref="X639:AD639"/>
    <mergeCell ref="X622:AD622"/>
    <mergeCell ref="X623:AD623"/>
    <mergeCell ref="X624:AD624"/>
    <mergeCell ref="X633:AD633"/>
    <mergeCell ref="X650:AD650"/>
    <mergeCell ref="X651:AD651"/>
    <mergeCell ref="X653:AD653"/>
    <mergeCell ref="B638:M638"/>
    <mergeCell ref="X629:AD629"/>
    <mergeCell ref="X630:AD630"/>
    <mergeCell ref="X631:AD631"/>
    <mergeCell ref="B632:M632"/>
    <mergeCell ref="S632:T632"/>
    <mergeCell ref="B633:M633"/>
    <mergeCell ref="S633:T633"/>
    <mergeCell ref="X632:AD632"/>
    <mergeCell ref="B656:M656"/>
    <mergeCell ref="S656:T656"/>
    <mergeCell ref="X656:AD656"/>
    <mergeCell ref="B652:M652"/>
    <mergeCell ref="S652:T652"/>
    <mergeCell ref="B642:M642"/>
    <mergeCell ref="S642:T642"/>
    <mergeCell ref="B643:M643"/>
    <mergeCell ref="S643:T643"/>
    <mergeCell ref="B640:M640"/>
    <mergeCell ref="S640:T640"/>
    <mergeCell ref="B641:M641"/>
    <mergeCell ref="S641:T641"/>
    <mergeCell ref="S650:T650"/>
    <mergeCell ref="B651:M651"/>
    <mergeCell ref="S651:T651"/>
    <mergeCell ref="B648:M648"/>
    <mergeCell ref="S648:T648"/>
    <mergeCell ref="B649:M649"/>
    <mergeCell ref="S649:T649"/>
  </mergeCells>
  <pageMargins left="0.39370078740157499" right="0.39370078740157499" top="0.999999984981507" bottom="0.999999984981507" header="0.499999992490753" footer="0.499999992490753"/>
  <pageSetup paperSize="9" scale="87" fitToHeight="0" orientation="portrait" r:id="rId1"/>
  <headerFooter alignWithMargins="0">
    <oddHeader>&amp;CСтраница &amp;P из &amp;N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582"/>
  <sheetViews>
    <sheetView showGridLines="0" topLeftCell="A84" zoomScaleNormal="100" workbookViewId="0">
      <selection activeCell="P94" sqref="P94"/>
    </sheetView>
  </sheetViews>
  <sheetFormatPr defaultColWidth="9.140625" defaultRowHeight="12.75" x14ac:dyDescent="0.2"/>
  <cols>
    <col min="1" max="1" width="1.7109375" style="327" customWidth="1"/>
    <col min="2" max="5" width="0" style="327" hidden="1" customWidth="1"/>
    <col min="6" max="6" width="44" style="327" customWidth="1"/>
    <col min="7" max="7" width="9.5703125" style="327" customWidth="1"/>
    <col min="8" max="10" width="5.7109375" style="327" customWidth="1"/>
    <col min="11" max="12" width="0" style="327" hidden="1" customWidth="1"/>
    <col min="13" max="14" width="12.140625" style="327" hidden="1" customWidth="1"/>
    <col min="15" max="15" width="14.42578125" style="367" customWidth="1"/>
    <col min="16" max="16" width="13.42578125" style="327" customWidth="1"/>
    <col min="17" max="17" width="13" style="327" customWidth="1"/>
    <col min="18" max="18" width="12.28515625" style="327" customWidth="1"/>
    <col min="19" max="248" width="9.140625" style="327" customWidth="1"/>
    <col min="249" max="16384" width="9.140625" style="327"/>
  </cols>
  <sheetData>
    <row r="1" spans="1:17" s="310" customFormat="1" ht="12.75" customHeight="1" x14ac:dyDescent="0.2">
      <c r="A1" s="305"/>
      <c r="B1" s="305"/>
      <c r="C1" s="305"/>
      <c r="D1" s="306"/>
      <c r="E1" s="306"/>
      <c r="F1" s="307"/>
      <c r="G1" s="308"/>
      <c r="H1" s="309"/>
      <c r="I1" s="309"/>
      <c r="J1" s="308"/>
      <c r="K1" s="309"/>
      <c r="L1" s="308" t="s">
        <v>312</v>
      </c>
      <c r="M1" s="530" t="s">
        <v>647</v>
      </c>
      <c r="N1" s="530"/>
      <c r="O1" s="530"/>
      <c r="P1" s="530"/>
      <c r="Q1" s="530"/>
    </row>
    <row r="2" spans="1:17" s="310" customFormat="1" ht="12.75" customHeight="1" x14ac:dyDescent="0.2">
      <c r="A2" s="311"/>
      <c r="B2" s="312"/>
      <c r="C2" s="312"/>
      <c r="D2" s="306"/>
      <c r="E2" s="306"/>
      <c r="F2" s="531" t="s">
        <v>127</v>
      </c>
      <c r="G2" s="531"/>
      <c r="H2" s="531"/>
      <c r="I2" s="531"/>
      <c r="J2" s="531"/>
      <c r="K2" s="531"/>
      <c r="L2" s="531"/>
      <c r="M2" s="531"/>
      <c r="N2" s="531"/>
      <c r="O2" s="531"/>
      <c r="P2" s="531"/>
      <c r="Q2" s="531"/>
    </row>
    <row r="3" spans="1:17" s="310" customFormat="1" ht="14.25" customHeight="1" x14ac:dyDescent="0.2">
      <c r="A3" s="313"/>
      <c r="B3" s="313"/>
      <c r="C3" s="313"/>
      <c r="D3" s="313"/>
      <c r="E3" s="313"/>
      <c r="F3" s="531" t="s">
        <v>167</v>
      </c>
      <c r="G3" s="531"/>
      <c r="H3" s="531"/>
      <c r="I3" s="531"/>
      <c r="J3" s="531"/>
      <c r="K3" s="531"/>
      <c r="L3" s="531"/>
      <c r="M3" s="531"/>
      <c r="N3" s="531"/>
      <c r="O3" s="531"/>
      <c r="P3" s="531"/>
      <c r="Q3" s="531"/>
    </row>
    <row r="4" spans="1:17" s="310" customFormat="1" ht="12.75" customHeight="1" x14ac:dyDescent="0.2">
      <c r="A4" s="313"/>
      <c r="B4" s="313"/>
      <c r="C4" s="313"/>
      <c r="D4" s="313"/>
      <c r="E4" s="313"/>
      <c r="F4" s="531" t="s">
        <v>531</v>
      </c>
      <c r="G4" s="531"/>
      <c r="H4" s="531"/>
      <c r="I4" s="531"/>
      <c r="J4" s="531"/>
      <c r="K4" s="531"/>
      <c r="L4" s="531"/>
      <c r="M4" s="531"/>
      <c r="N4" s="531"/>
      <c r="O4" s="531"/>
      <c r="P4" s="531"/>
      <c r="Q4" s="531"/>
    </row>
    <row r="5" spans="1:17" s="310" customFormat="1" ht="13.5" customHeight="1" x14ac:dyDescent="0.2">
      <c r="A5" s="313"/>
      <c r="B5" s="313"/>
      <c r="C5" s="313"/>
      <c r="D5" s="313"/>
      <c r="E5" s="313"/>
      <c r="F5" s="531" t="s">
        <v>533</v>
      </c>
      <c r="G5" s="531"/>
      <c r="H5" s="531"/>
      <c r="I5" s="531"/>
      <c r="J5" s="531"/>
      <c r="K5" s="531"/>
      <c r="L5" s="531"/>
      <c r="M5" s="531"/>
      <c r="N5" s="531"/>
      <c r="O5" s="531"/>
      <c r="P5" s="531"/>
      <c r="Q5" s="531"/>
    </row>
    <row r="6" spans="1:17" s="310" customFormat="1" ht="12.75" customHeight="1" x14ac:dyDescent="0.2">
      <c r="A6" s="306"/>
      <c r="B6" s="306"/>
      <c r="C6" s="306"/>
      <c r="D6" s="306"/>
      <c r="E6" s="306"/>
      <c r="F6" s="314"/>
      <c r="G6" s="314"/>
      <c r="H6" s="314"/>
      <c r="I6" s="314"/>
      <c r="J6" s="314"/>
      <c r="K6" s="314"/>
      <c r="L6" s="314"/>
      <c r="M6" s="306"/>
      <c r="O6" s="315"/>
    </row>
    <row r="7" spans="1:17" s="310" customFormat="1" ht="12.75" customHeight="1" x14ac:dyDescent="0.2">
      <c r="A7" s="306"/>
      <c r="B7" s="306"/>
      <c r="C7" s="306"/>
      <c r="D7" s="306"/>
      <c r="E7" s="306"/>
      <c r="F7" s="306"/>
      <c r="G7" s="306"/>
      <c r="H7" s="306"/>
      <c r="I7" s="306"/>
      <c r="J7" s="306"/>
      <c r="K7" s="306"/>
      <c r="L7" s="306"/>
      <c r="M7" s="306"/>
      <c r="O7" s="315"/>
    </row>
    <row r="8" spans="1:17" s="310" customFormat="1" ht="12.75" customHeight="1" x14ac:dyDescent="0.2">
      <c r="A8" s="529" t="s">
        <v>649</v>
      </c>
      <c r="B8" s="529"/>
      <c r="C8" s="529"/>
      <c r="D8" s="529"/>
      <c r="E8" s="529"/>
      <c r="F8" s="529"/>
      <c r="G8" s="529"/>
      <c r="H8" s="529"/>
      <c r="I8" s="529"/>
      <c r="J8" s="529"/>
      <c r="K8" s="529"/>
      <c r="L8" s="529"/>
      <c r="M8" s="529"/>
      <c r="N8" s="529"/>
      <c r="O8" s="529"/>
      <c r="P8" s="529"/>
      <c r="Q8" s="529"/>
    </row>
    <row r="9" spans="1:17" s="310" customFormat="1" ht="14.25" customHeight="1" x14ac:dyDescent="0.2">
      <c r="A9" s="529" t="s">
        <v>650</v>
      </c>
      <c r="B9" s="529"/>
      <c r="C9" s="529"/>
      <c r="D9" s="529"/>
      <c r="E9" s="529"/>
      <c r="F9" s="529"/>
      <c r="G9" s="529"/>
      <c r="H9" s="529"/>
      <c r="I9" s="529"/>
      <c r="J9" s="529"/>
      <c r="K9" s="529"/>
      <c r="L9" s="529"/>
      <c r="M9" s="529"/>
      <c r="N9" s="529"/>
      <c r="O9" s="529"/>
      <c r="P9" s="529"/>
      <c r="Q9" s="529"/>
    </row>
    <row r="10" spans="1:17" s="310" customFormat="1" ht="12.75" customHeight="1" x14ac:dyDescent="0.2">
      <c r="A10" s="529" t="s">
        <v>651</v>
      </c>
      <c r="B10" s="529"/>
      <c r="C10" s="529"/>
      <c r="D10" s="529"/>
      <c r="E10" s="529"/>
      <c r="F10" s="529"/>
      <c r="G10" s="529"/>
      <c r="H10" s="529"/>
      <c r="I10" s="529"/>
      <c r="J10" s="529"/>
      <c r="K10" s="529"/>
      <c r="L10" s="529"/>
      <c r="M10" s="529"/>
      <c r="N10" s="529"/>
      <c r="O10" s="529"/>
      <c r="P10" s="529"/>
      <c r="Q10" s="529"/>
    </row>
    <row r="11" spans="1:17" s="310" customFormat="1" ht="12.75" customHeight="1" x14ac:dyDescent="0.2">
      <c r="A11" s="529" t="s">
        <v>608</v>
      </c>
      <c r="B11" s="529"/>
      <c r="C11" s="529"/>
      <c r="D11" s="529"/>
      <c r="E11" s="529"/>
      <c r="F11" s="529"/>
      <c r="G11" s="529"/>
      <c r="H11" s="529"/>
      <c r="I11" s="529"/>
      <c r="J11" s="529"/>
      <c r="K11" s="529"/>
      <c r="L11" s="529"/>
      <c r="M11" s="529"/>
      <c r="N11" s="529"/>
      <c r="O11" s="529"/>
      <c r="P11" s="529"/>
      <c r="Q11" s="529"/>
    </row>
    <row r="12" spans="1:17" s="317" customFormat="1" ht="12.75" customHeight="1" x14ac:dyDescent="0.2">
      <c r="A12" s="316"/>
      <c r="B12" s="316"/>
      <c r="C12" s="316"/>
      <c r="D12" s="316"/>
      <c r="E12" s="316"/>
      <c r="F12" s="316"/>
      <c r="G12" s="316"/>
      <c r="H12" s="316"/>
      <c r="I12" s="316"/>
      <c r="J12" s="316"/>
      <c r="K12" s="316"/>
      <c r="L12" s="316"/>
      <c r="M12" s="316"/>
      <c r="O12" s="318"/>
    </row>
    <row r="13" spans="1:17" s="317" customFormat="1" ht="12.75" customHeight="1" x14ac:dyDescent="0.2">
      <c r="A13" s="316"/>
      <c r="B13" s="316"/>
      <c r="C13" s="316"/>
      <c r="D13" s="316"/>
      <c r="E13" s="316"/>
      <c r="F13" s="316"/>
      <c r="G13" s="316"/>
      <c r="H13" s="316"/>
      <c r="I13" s="316"/>
      <c r="J13" s="316"/>
      <c r="K13" s="316"/>
      <c r="L13" s="316"/>
      <c r="M13" s="316"/>
      <c r="O13" s="318"/>
    </row>
    <row r="14" spans="1:17" s="317" customFormat="1" ht="12.75" customHeight="1" x14ac:dyDescent="0.2">
      <c r="A14" s="319" t="s">
        <v>314</v>
      </c>
      <c r="B14" s="316"/>
      <c r="C14" s="316"/>
      <c r="D14" s="316"/>
      <c r="E14" s="316"/>
      <c r="F14" s="316"/>
      <c r="G14" s="316"/>
      <c r="H14" s="316"/>
      <c r="I14" s="316"/>
      <c r="J14" s="316"/>
      <c r="K14" s="316"/>
      <c r="L14" s="316"/>
      <c r="M14" s="316"/>
      <c r="O14" s="318"/>
    </row>
    <row r="15" spans="1:17" s="317" customFormat="1" ht="12.75" customHeight="1" thickBot="1" x14ac:dyDescent="0.25">
      <c r="A15" s="319" t="s">
        <v>315</v>
      </c>
      <c r="B15" s="316"/>
      <c r="C15" s="316"/>
      <c r="D15" s="316"/>
      <c r="E15" s="316"/>
      <c r="F15" s="319"/>
      <c r="G15" s="316"/>
      <c r="H15" s="316"/>
      <c r="I15" s="316"/>
      <c r="J15" s="316"/>
      <c r="K15" s="316"/>
      <c r="L15" s="316"/>
      <c r="M15" s="316"/>
      <c r="O15" s="318"/>
    </row>
    <row r="16" spans="1:17" ht="12.75" customHeight="1" thickBot="1" x14ac:dyDescent="0.25">
      <c r="A16" s="316"/>
      <c r="B16" s="316"/>
      <c r="C16" s="316"/>
      <c r="D16" s="316"/>
      <c r="E16" s="316"/>
      <c r="F16" s="320"/>
      <c r="G16" s="321"/>
      <c r="H16" s="322"/>
      <c r="I16" s="321"/>
      <c r="J16" s="322"/>
      <c r="K16" s="323"/>
      <c r="L16" s="324"/>
      <c r="M16" s="322"/>
      <c r="N16" s="324"/>
      <c r="O16" s="325"/>
      <c r="P16" s="326"/>
      <c r="Q16" s="326"/>
    </row>
    <row r="17" spans="1:19" ht="66" customHeight="1" thickBot="1" x14ac:dyDescent="0.25">
      <c r="A17" s="328"/>
      <c r="B17" s="329"/>
      <c r="C17" s="329"/>
      <c r="D17" s="329" t="s">
        <v>319</v>
      </c>
      <c r="E17" s="329" t="s">
        <v>320</v>
      </c>
      <c r="F17" s="330" t="s">
        <v>0</v>
      </c>
      <c r="G17" s="331" t="s">
        <v>3</v>
      </c>
      <c r="H17" s="332" t="s">
        <v>4</v>
      </c>
      <c r="I17" s="331" t="s">
        <v>1</v>
      </c>
      <c r="J17" s="331" t="s">
        <v>2</v>
      </c>
      <c r="K17" s="333" t="s">
        <v>321</v>
      </c>
      <c r="L17" s="334"/>
      <c r="M17" s="332" t="s">
        <v>589</v>
      </c>
      <c r="N17" s="333" t="s">
        <v>590</v>
      </c>
      <c r="O17" s="5" t="s">
        <v>591</v>
      </c>
      <c r="P17" s="94" t="s">
        <v>592</v>
      </c>
      <c r="Q17" s="94" t="s">
        <v>593</v>
      </c>
      <c r="R17" s="327">
        <f>P20/P19*100</f>
        <v>88.570581573529665</v>
      </c>
    </row>
    <row r="18" spans="1:19" ht="12.75" customHeight="1" x14ac:dyDescent="0.2">
      <c r="A18" s="328"/>
      <c r="B18" s="335"/>
      <c r="C18" s="335"/>
      <c r="D18" s="335"/>
      <c r="E18" s="336"/>
      <c r="F18" s="337">
        <v>1</v>
      </c>
      <c r="G18" s="338">
        <v>2</v>
      </c>
      <c r="H18" s="338">
        <v>3</v>
      </c>
      <c r="I18" s="338">
        <v>4</v>
      </c>
      <c r="J18" s="338">
        <v>5</v>
      </c>
      <c r="K18" s="339">
        <v>7</v>
      </c>
      <c r="L18" s="339"/>
      <c r="M18" s="338">
        <v>6</v>
      </c>
      <c r="N18" s="339">
        <v>7</v>
      </c>
      <c r="O18" s="339">
        <v>8</v>
      </c>
      <c r="P18" s="431">
        <v>9</v>
      </c>
      <c r="Q18" s="431">
        <v>10</v>
      </c>
    </row>
    <row r="19" spans="1:19" ht="12" customHeight="1" thickBot="1" x14ac:dyDescent="0.25">
      <c r="A19" s="340"/>
      <c r="B19" s="341"/>
      <c r="C19" s="342"/>
      <c r="D19" s="343"/>
      <c r="E19" s="344"/>
      <c r="F19" s="345" t="s">
        <v>126</v>
      </c>
      <c r="G19" s="346"/>
      <c r="H19" s="347"/>
      <c r="I19" s="348"/>
      <c r="J19" s="349"/>
      <c r="K19" s="350"/>
      <c r="L19" s="350"/>
      <c r="M19" s="351">
        <v>451884.9</v>
      </c>
      <c r="N19" s="352">
        <v>40158.239999999998</v>
      </c>
      <c r="O19" s="353">
        <f>+O20+O368</f>
        <v>526487.91899999999</v>
      </c>
      <c r="P19" s="353">
        <f>+P20+P368</f>
        <v>130821.37359999999</v>
      </c>
      <c r="Q19" s="354">
        <f>+P19/O19*100</f>
        <v>24.847934563907817</v>
      </c>
      <c r="R19" s="327">
        <f>+'11'!U657</f>
        <v>526487.91599999997</v>
      </c>
      <c r="S19" s="429">
        <f>+'11'!AG657</f>
        <v>130821.34944999999</v>
      </c>
    </row>
    <row r="20" spans="1:19" ht="12" customHeight="1" x14ac:dyDescent="0.2">
      <c r="A20" s="340"/>
      <c r="B20" s="342"/>
      <c r="C20" s="342"/>
      <c r="D20" s="343"/>
      <c r="E20" s="343"/>
      <c r="F20" s="355" t="s">
        <v>652</v>
      </c>
      <c r="G20" s="356"/>
      <c r="H20" s="357"/>
      <c r="I20" s="358"/>
      <c r="J20" s="350"/>
      <c r="K20" s="350"/>
      <c r="L20" s="350"/>
      <c r="M20" s="359"/>
      <c r="N20" s="359"/>
      <c r="O20" s="360">
        <f>+O21+O120+O130+O141+O160+O176+O181+O268+O336+O342+O354+O359+O363</f>
        <v>466722.56299999997</v>
      </c>
      <c r="P20" s="360">
        <f>+P21+P120+P130+P141+P160+P176+P181+P268+P336+P342+P354+P359+P363</f>
        <v>115869.25141999999</v>
      </c>
      <c r="Q20" s="432">
        <f t="shared" ref="Q20" si="0">+P20/O20*100</f>
        <v>24.826151681036254</v>
      </c>
    </row>
    <row r="21" spans="1:19" s="419" customFormat="1" ht="34.5" customHeight="1" thickBot="1" x14ac:dyDescent="0.25">
      <c r="B21" s="525" t="s">
        <v>155</v>
      </c>
      <c r="C21" s="525"/>
      <c r="D21" s="525"/>
      <c r="E21" s="525"/>
      <c r="F21" s="526"/>
      <c r="G21" s="420">
        <f>+'11'!Q105</f>
        <v>0</v>
      </c>
      <c r="H21" s="421">
        <f>+'11'!R105</f>
        <v>0</v>
      </c>
      <c r="I21" s="421">
        <f>+'11'!O105</f>
        <v>0</v>
      </c>
      <c r="J21" s="421">
        <f>+'11'!P105</f>
        <v>0</v>
      </c>
      <c r="K21" s="527"/>
      <c r="L21" s="528"/>
      <c r="M21" s="422"/>
      <c r="N21" s="423"/>
      <c r="O21" s="424">
        <f>+'11'!U105</f>
        <v>54460.784</v>
      </c>
      <c r="P21" s="433">
        <f>+'11'!AG105</f>
        <v>13115.274249999999</v>
      </c>
      <c r="Q21" s="435">
        <f>P21/O21*100</f>
        <v>24.082051866899306</v>
      </c>
      <c r="R21" s="426">
        <f>R19-O19</f>
        <v>-3.0000000260770321E-3</v>
      </c>
      <c r="S21" s="430">
        <f>S19-P19</f>
        <v>-2.4149999997462146E-2</v>
      </c>
    </row>
    <row r="22" spans="1:19" ht="13.5" thickBot="1" x14ac:dyDescent="0.25">
      <c r="B22" s="521" t="str">
        <f>+'11'!B106:M106</f>
        <v>СОЦИАЛЬНАЯ ПОЛИТИКА</v>
      </c>
      <c r="C22" s="521"/>
      <c r="D22" s="521"/>
      <c r="E22" s="521"/>
      <c r="F22" s="522"/>
      <c r="G22" s="366">
        <f>+'11'!Q106</f>
        <v>0</v>
      </c>
      <c r="H22" s="363">
        <f>+'11'!R106</f>
        <v>0</v>
      </c>
      <c r="I22" s="363">
        <f>+'11'!O106</f>
        <v>10</v>
      </c>
      <c r="J22" s="363">
        <f>+'11'!P106</f>
        <v>0</v>
      </c>
      <c r="K22" s="523"/>
      <c r="L22" s="524"/>
      <c r="M22" s="361"/>
      <c r="N22" s="362"/>
      <c r="O22" s="365">
        <f>+'11'!U106</f>
        <v>54460.784</v>
      </c>
      <c r="P22" s="434">
        <f>+'11'!AG106</f>
        <v>13115.274249999999</v>
      </c>
      <c r="Q22" s="436">
        <f t="shared" ref="Q22:Q84" si="1">P22/O22*100</f>
        <v>24.082051866899306</v>
      </c>
    </row>
    <row r="23" spans="1:19" ht="13.5" thickBot="1" x14ac:dyDescent="0.25">
      <c r="B23" s="521" t="str">
        <f>+'11'!B107:M107</f>
        <v>Социальное обеспечение населения</v>
      </c>
      <c r="C23" s="521"/>
      <c r="D23" s="521"/>
      <c r="E23" s="521"/>
      <c r="F23" s="522"/>
      <c r="G23" s="366">
        <f>+'11'!Q107</f>
        <v>0</v>
      </c>
      <c r="H23" s="363">
        <f>+'11'!R107</f>
        <v>0</v>
      </c>
      <c r="I23" s="363">
        <f>+'11'!O107</f>
        <v>10</v>
      </c>
      <c r="J23" s="363">
        <f>+'11'!P107</f>
        <v>3</v>
      </c>
      <c r="K23" s="523"/>
      <c r="L23" s="524"/>
      <c r="M23" s="361"/>
      <c r="N23" s="362"/>
      <c r="O23" s="365">
        <f>+'11'!U107</f>
        <v>17477.400000000001</v>
      </c>
      <c r="P23" s="434">
        <f>+'11'!AG107</f>
        <v>4345.34782</v>
      </c>
      <c r="Q23" s="436">
        <f t="shared" si="1"/>
        <v>24.862667330380948</v>
      </c>
    </row>
    <row r="24" spans="1:19" ht="13.5" thickBot="1" x14ac:dyDescent="0.25">
      <c r="B24" s="521" t="str">
        <f>+'11'!B108:M108</f>
        <v>Муниципальная программа "Социальная поддержка граждан в Овюрском кожууне"</v>
      </c>
      <c r="C24" s="521"/>
      <c r="D24" s="521"/>
      <c r="E24" s="521"/>
      <c r="F24" s="522"/>
      <c r="G24" s="366" t="str">
        <f>+'11'!Q108</f>
        <v>0100000000</v>
      </c>
      <c r="H24" s="363">
        <f>+'11'!R108</f>
        <v>0</v>
      </c>
      <c r="I24" s="363">
        <f>+'11'!O108</f>
        <v>10</v>
      </c>
      <c r="J24" s="363">
        <f>+'11'!P108</f>
        <v>3</v>
      </c>
      <c r="K24" s="523"/>
      <c r="L24" s="524"/>
      <c r="M24" s="361"/>
      <c r="N24" s="362"/>
      <c r="O24" s="365">
        <f>+'11'!U108</f>
        <v>1793</v>
      </c>
      <c r="P24" s="434">
        <f>+'11'!AG108</f>
        <v>0</v>
      </c>
      <c r="Q24" s="436">
        <f t="shared" si="1"/>
        <v>0</v>
      </c>
    </row>
    <row r="25" spans="1:19" ht="13.5" thickBot="1" x14ac:dyDescent="0.25">
      <c r="B25" s="521" t="str">
        <f>+'11'!B109:M109</f>
        <v>подпрограмма "Развитие мер социальной поддержки отдельным категориям граждан"</v>
      </c>
      <c r="C25" s="521"/>
      <c r="D25" s="521"/>
      <c r="E25" s="521"/>
      <c r="F25" s="522"/>
      <c r="G25" s="366" t="str">
        <f>+'11'!Q109</f>
        <v>0110000000</v>
      </c>
      <c r="H25" s="363">
        <f>+'11'!R109</f>
        <v>0</v>
      </c>
      <c r="I25" s="363">
        <f>+'11'!O109</f>
        <v>10</v>
      </c>
      <c r="J25" s="363">
        <f>+'11'!P109</f>
        <v>3</v>
      </c>
      <c r="K25" s="523"/>
      <c r="L25" s="524"/>
      <c r="M25" s="361"/>
      <c r="N25" s="362"/>
      <c r="O25" s="365">
        <f>+'11'!U109</f>
        <v>1793</v>
      </c>
      <c r="P25" s="434">
        <f>+'11'!AG109</f>
        <v>0</v>
      </c>
      <c r="Q25" s="436">
        <f t="shared" si="1"/>
        <v>0</v>
      </c>
    </row>
    <row r="26" spans="1:19" ht="13.5" thickBot="1" x14ac:dyDescent="0.25">
      <c r="B26" s="521" t="str">
        <f>+'11'!B110:M110</f>
        <v>Субвенции на оплату части затрат на транспортировку угля граждан, проживающих в труднодоступных населенных пунктах</v>
      </c>
      <c r="C26" s="521"/>
      <c r="D26" s="521"/>
      <c r="E26" s="521"/>
      <c r="F26" s="522"/>
      <c r="G26" s="366" t="str">
        <f>+'11'!Q110</f>
        <v>0110076100</v>
      </c>
      <c r="H26" s="363">
        <f>+'11'!R110</f>
        <v>0</v>
      </c>
      <c r="I26" s="363">
        <f>+'11'!O110</f>
        <v>10</v>
      </c>
      <c r="J26" s="363">
        <f>+'11'!P110</f>
        <v>3</v>
      </c>
      <c r="K26" s="523"/>
      <c r="L26" s="524"/>
      <c r="M26" s="361"/>
      <c r="N26" s="362"/>
      <c r="O26" s="365">
        <f>+'11'!U110</f>
        <v>1793</v>
      </c>
      <c r="P26" s="434">
        <f>+'11'!AG110</f>
        <v>0</v>
      </c>
      <c r="Q26" s="436">
        <f t="shared" si="1"/>
        <v>0</v>
      </c>
    </row>
    <row r="27" spans="1:19" ht="13.5" thickBot="1" x14ac:dyDescent="0.25">
      <c r="B27" s="521" t="str">
        <f>+'11'!B111:M111</f>
        <v>Социальное обеспечение и иные выплаты населению</v>
      </c>
      <c r="C27" s="521"/>
      <c r="D27" s="521"/>
      <c r="E27" s="521"/>
      <c r="F27" s="522"/>
      <c r="G27" s="366" t="str">
        <f>+'11'!Q111</f>
        <v>0110076100</v>
      </c>
      <c r="H27" s="363" t="str">
        <f>+'11'!R111</f>
        <v>300</v>
      </c>
      <c r="I27" s="363">
        <f>+'11'!O111</f>
        <v>10</v>
      </c>
      <c r="J27" s="363">
        <f>+'11'!P111</f>
        <v>3</v>
      </c>
      <c r="K27" s="523"/>
      <c r="L27" s="524"/>
      <c r="M27" s="361"/>
      <c r="N27" s="362"/>
      <c r="O27" s="365">
        <f>+'11'!U111</f>
        <v>1793</v>
      </c>
      <c r="P27" s="434">
        <f>+'11'!AG111</f>
        <v>0</v>
      </c>
      <c r="Q27" s="436">
        <f t="shared" si="1"/>
        <v>0</v>
      </c>
    </row>
    <row r="28" spans="1:19" ht="13.5" thickBot="1" x14ac:dyDescent="0.25">
      <c r="B28" s="521" t="str">
        <f>+'11'!B112:M112</f>
        <v>Социальные выплаты гражданам, кроме публичных нормативных социальных выплат</v>
      </c>
      <c r="C28" s="521"/>
      <c r="D28" s="521"/>
      <c r="E28" s="521"/>
      <c r="F28" s="522"/>
      <c r="G28" s="366" t="str">
        <f>+'11'!Q112</f>
        <v>0110076100</v>
      </c>
      <c r="H28" s="363" t="str">
        <f>+'11'!R112</f>
        <v>320</v>
      </c>
      <c r="I28" s="363">
        <f>+'11'!O112</f>
        <v>10</v>
      </c>
      <c r="J28" s="363">
        <f>+'11'!P112</f>
        <v>3</v>
      </c>
      <c r="K28" s="523"/>
      <c r="L28" s="524"/>
      <c r="M28" s="361"/>
      <c r="N28" s="362"/>
      <c r="O28" s="365">
        <f>+'11'!U112</f>
        <v>1793</v>
      </c>
      <c r="P28" s="434">
        <f>+'11'!AG112</f>
        <v>0</v>
      </c>
      <c r="Q28" s="436">
        <f t="shared" si="1"/>
        <v>0</v>
      </c>
    </row>
    <row r="29" spans="1:19" ht="13.5" thickBot="1" x14ac:dyDescent="0.25">
      <c r="B29" s="521" t="str">
        <f>+'11'!B113:M113</f>
        <v>Пособия, компенсации и иные социальные выплаты гражданам, кроме публичных нормативных обязательств</v>
      </c>
      <c r="C29" s="521"/>
      <c r="D29" s="521"/>
      <c r="E29" s="521"/>
      <c r="F29" s="522"/>
      <c r="G29" s="366" t="str">
        <f>+'11'!Q113</f>
        <v>0110076100</v>
      </c>
      <c r="H29" s="363" t="str">
        <f>+'11'!R113</f>
        <v>321</v>
      </c>
      <c r="I29" s="363">
        <f>+'11'!O113</f>
        <v>10</v>
      </c>
      <c r="J29" s="363">
        <f>+'11'!P113</f>
        <v>3</v>
      </c>
      <c r="K29" s="523"/>
      <c r="L29" s="524"/>
      <c r="M29" s="361"/>
      <c r="N29" s="362"/>
      <c r="O29" s="365">
        <f>+'11'!U113</f>
        <v>1793</v>
      </c>
      <c r="P29" s="434">
        <f>+'11'!AG113</f>
        <v>0</v>
      </c>
      <c r="Q29" s="436">
        <f t="shared" si="1"/>
        <v>0</v>
      </c>
    </row>
    <row r="30" spans="1:19" ht="13.5" thickBot="1" x14ac:dyDescent="0.25">
      <c r="B30" s="521" t="str">
        <f>+'11'!B114:M114</f>
        <v>Муниципальная программа "Социальная поддержка граждан в Овюрском кожууне"</v>
      </c>
      <c r="C30" s="521"/>
      <c r="D30" s="521"/>
      <c r="E30" s="521"/>
      <c r="F30" s="522"/>
      <c r="G30" s="366" t="str">
        <f>+'11'!Q114</f>
        <v>0100000000</v>
      </c>
      <c r="H30" s="363">
        <f>+'11'!R114</f>
        <v>0</v>
      </c>
      <c r="I30" s="363">
        <f>+'11'!O114</f>
        <v>10</v>
      </c>
      <c r="J30" s="363">
        <f>+'11'!P114</f>
        <v>3</v>
      </c>
      <c r="K30" s="523"/>
      <c r="L30" s="524"/>
      <c r="M30" s="361"/>
      <c r="N30" s="362"/>
      <c r="O30" s="365">
        <f>+'11'!U114</f>
        <v>4407.8999999999996</v>
      </c>
      <c r="P30" s="434">
        <f>+'11'!AG114</f>
        <v>1081.8710000000001</v>
      </c>
      <c r="Q30" s="436">
        <f t="shared" si="1"/>
        <v>24.543909798316662</v>
      </c>
    </row>
    <row r="31" spans="1:19" ht="13.5" thickBot="1" x14ac:dyDescent="0.25">
      <c r="B31" s="521" t="str">
        <f>+'11'!B115:M115</f>
        <v>подпрограмма "Развитие мер социальной поддержки отдельным категориям граждан"</v>
      </c>
      <c r="C31" s="521"/>
      <c r="D31" s="521"/>
      <c r="E31" s="521"/>
      <c r="F31" s="522"/>
      <c r="G31" s="366" t="str">
        <f>+'11'!Q115</f>
        <v>0110000000</v>
      </c>
      <c r="H31" s="363">
        <f>+'11'!R115</f>
        <v>0</v>
      </c>
      <c r="I31" s="363">
        <f>+'11'!O115</f>
        <v>10</v>
      </c>
      <c r="J31" s="363">
        <f>+'11'!P115</f>
        <v>3</v>
      </c>
      <c r="K31" s="523"/>
      <c r="L31" s="524"/>
      <c r="M31" s="361"/>
      <c r="N31" s="362"/>
      <c r="O31" s="365">
        <f>+'11'!U115</f>
        <v>4407.8999999999996</v>
      </c>
      <c r="P31" s="434">
        <f>+'11'!AG115</f>
        <v>1081.8710000000001</v>
      </c>
      <c r="Q31" s="436">
        <f t="shared" si="1"/>
        <v>24.543909798316662</v>
      </c>
    </row>
    <row r="32" spans="1:19" ht="13.5" thickBot="1" x14ac:dyDescent="0.25">
      <c r="B32" s="521" t="str">
        <f>+'11'!B116:M116</f>
        <v>Обеспечение мер социальной поддержки ветеранов труда и тружеников тыла</v>
      </c>
      <c r="C32" s="521"/>
      <c r="D32" s="521"/>
      <c r="E32" s="521"/>
      <c r="F32" s="522"/>
      <c r="G32" s="366" t="str">
        <f>+'11'!Q116</f>
        <v>0110176060</v>
      </c>
      <c r="H32" s="363">
        <f>+'11'!R116</f>
        <v>0</v>
      </c>
      <c r="I32" s="363">
        <f>+'11'!O116</f>
        <v>10</v>
      </c>
      <c r="J32" s="363">
        <f>+'11'!P116</f>
        <v>3</v>
      </c>
      <c r="K32" s="523"/>
      <c r="L32" s="524"/>
      <c r="M32" s="361"/>
      <c r="N32" s="362"/>
      <c r="O32" s="365">
        <f>+'11'!U116</f>
        <v>4407.8999999999996</v>
      </c>
      <c r="P32" s="434">
        <f>+'11'!AG116</f>
        <v>1081.8710000000001</v>
      </c>
      <c r="Q32" s="436">
        <f t="shared" si="1"/>
        <v>24.543909798316662</v>
      </c>
    </row>
    <row r="33" spans="2:17" ht="13.5" thickBot="1" x14ac:dyDescent="0.25">
      <c r="B33" s="521" t="str">
        <f>+'11'!B117:M117</f>
        <v>Закупка товаров, работ и услуг для обеспечения государственных (муниципальных) нужд</v>
      </c>
      <c r="C33" s="521"/>
      <c r="D33" s="521"/>
      <c r="E33" s="521"/>
      <c r="F33" s="522"/>
      <c r="G33" s="366" t="str">
        <f>+'11'!Q117</f>
        <v>0110176060</v>
      </c>
      <c r="H33" s="363" t="str">
        <f>+'11'!R117</f>
        <v>200</v>
      </c>
      <c r="I33" s="363">
        <f>+'11'!O117</f>
        <v>10</v>
      </c>
      <c r="J33" s="363">
        <f>+'11'!P117</f>
        <v>3</v>
      </c>
      <c r="K33" s="523"/>
      <c r="L33" s="524"/>
      <c r="M33" s="361"/>
      <c r="N33" s="362"/>
      <c r="O33" s="365">
        <f>+'11'!U117</f>
        <v>38.9</v>
      </c>
      <c r="P33" s="434">
        <f>+'11'!AG117</f>
        <v>5.6790000000000003</v>
      </c>
      <c r="Q33" s="436">
        <f t="shared" si="1"/>
        <v>14.598971722365039</v>
      </c>
    </row>
    <row r="34" spans="2:17" ht="13.5" thickBot="1" x14ac:dyDescent="0.25">
      <c r="B34" s="521" t="str">
        <f>+'11'!B118:M118</f>
        <v>Иные закупки товаров, работ и услуг для обеспечения государственных (муниципальных) нужд</v>
      </c>
      <c r="C34" s="521"/>
      <c r="D34" s="521"/>
      <c r="E34" s="521"/>
      <c r="F34" s="522"/>
      <c r="G34" s="366" t="str">
        <f>+'11'!Q118</f>
        <v>0110176060</v>
      </c>
      <c r="H34" s="363" t="str">
        <f>+'11'!R118</f>
        <v>240</v>
      </c>
      <c r="I34" s="363">
        <f>+'11'!O118</f>
        <v>10</v>
      </c>
      <c r="J34" s="363">
        <f>+'11'!P118</f>
        <v>3</v>
      </c>
      <c r="K34" s="523"/>
      <c r="L34" s="524"/>
      <c r="M34" s="361"/>
      <c r="N34" s="362"/>
      <c r="O34" s="365">
        <f>+'11'!U118</f>
        <v>38.9</v>
      </c>
      <c r="P34" s="434">
        <f>+'11'!AG118</f>
        <v>5.6790000000000003</v>
      </c>
      <c r="Q34" s="436">
        <f t="shared" si="1"/>
        <v>14.598971722365039</v>
      </c>
    </row>
    <row r="35" spans="2:17" ht="13.5" thickBot="1" x14ac:dyDescent="0.25">
      <c r="B35" s="521" t="str">
        <f>+'11'!B119:M119</f>
        <v>Прочая закупка товаров, работ и услуг</v>
      </c>
      <c r="C35" s="521"/>
      <c r="D35" s="521"/>
      <c r="E35" s="521"/>
      <c r="F35" s="522"/>
      <c r="G35" s="366" t="str">
        <f>+'11'!Q119</f>
        <v>0110176060</v>
      </c>
      <c r="H35" s="363" t="str">
        <f>+'11'!R119</f>
        <v>244</v>
      </c>
      <c r="I35" s="363">
        <f>+'11'!O119</f>
        <v>10</v>
      </c>
      <c r="J35" s="363">
        <f>+'11'!P119</f>
        <v>3</v>
      </c>
      <c r="K35" s="523"/>
      <c r="L35" s="524"/>
      <c r="M35" s="361"/>
      <c r="N35" s="362"/>
      <c r="O35" s="365">
        <f>+'11'!U119</f>
        <v>38.9</v>
      </c>
      <c r="P35" s="434">
        <f>+'11'!AG119</f>
        <v>5.6790000000000003</v>
      </c>
      <c r="Q35" s="436">
        <f t="shared" si="1"/>
        <v>14.598971722365039</v>
      </c>
    </row>
    <row r="36" spans="2:17" ht="13.5" thickBot="1" x14ac:dyDescent="0.25">
      <c r="B36" s="521" t="str">
        <f>+'11'!B120:M120</f>
        <v>Социальное обеспечение и иные выплаты населению</v>
      </c>
      <c r="C36" s="521"/>
      <c r="D36" s="521"/>
      <c r="E36" s="521"/>
      <c r="F36" s="522"/>
      <c r="G36" s="366" t="str">
        <f>+'11'!Q120</f>
        <v>0110176060</v>
      </c>
      <c r="H36" s="363" t="str">
        <f>+'11'!R120</f>
        <v>300</v>
      </c>
      <c r="I36" s="363">
        <f>+'11'!O120</f>
        <v>10</v>
      </c>
      <c r="J36" s="363">
        <f>+'11'!P120</f>
        <v>3</v>
      </c>
      <c r="K36" s="523"/>
      <c r="L36" s="524"/>
      <c r="M36" s="361"/>
      <c r="N36" s="362"/>
      <c r="O36" s="365">
        <f>+'11'!U120</f>
        <v>4369</v>
      </c>
      <c r="P36" s="434">
        <f>+'11'!AG120</f>
        <v>1076.192</v>
      </c>
      <c r="Q36" s="436">
        <f t="shared" si="1"/>
        <v>24.632455939574275</v>
      </c>
    </row>
    <row r="37" spans="2:17" ht="13.5" thickBot="1" x14ac:dyDescent="0.25">
      <c r="B37" s="521" t="str">
        <f>+'11'!B121:M121</f>
        <v>Публичные нормативные социальные выплаты гражданам</v>
      </c>
      <c r="C37" s="521"/>
      <c r="D37" s="521"/>
      <c r="E37" s="521"/>
      <c r="F37" s="522"/>
      <c r="G37" s="366" t="str">
        <f>+'11'!Q121</f>
        <v>0110176060</v>
      </c>
      <c r="H37" s="363" t="str">
        <f>+'11'!R121</f>
        <v>310</v>
      </c>
      <c r="I37" s="363">
        <f>+'11'!O121</f>
        <v>10</v>
      </c>
      <c r="J37" s="363">
        <f>+'11'!P121</f>
        <v>3</v>
      </c>
      <c r="K37" s="523"/>
      <c r="L37" s="524"/>
      <c r="M37" s="361"/>
      <c r="N37" s="362"/>
      <c r="O37" s="365">
        <f>+'11'!U121</f>
        <v>4369</v>
      </c>
      <c r="P37" s="434">
        <f>+'11'!AG121</f>
        <v>1076.192</v>
      </c>
      <c r="Q37" s="436">
        <f t="shared" si="1"/>
        <v>24.632455939574275</v>
      </c>
    </row>
    <row r="38" spans="2:17" ht="13.5" thickBot="1" x14ac:dyDescent="0.25">
      <c r="B38" s="521" t="str">
        <f>+'11'!B122:M122</f>
        <v>Пособия, компенсации, меры социальной поддержки по публичным нормативным обязательствам</v>
      </c>
      <c r="C38" s="521"/>
      <c r="D38" s="521"/>
      <c r="E38" s="521"/>
      <c r="F38" s="522"/>
      <c r="G38" s="366" t="str">
        <f>+'11'!Q122</f>
        <v>0110176060</v>
      </c>
      <c r="H38" s="363" t="str">
        <f>+'11'!R122</f>
        <v>313</v>
      </c>
      <c r="I38" s="363">
        <f>+'11'!O122</f>
        <v>10</v>
      </c>
      <c r="J38" s="363">
        <f>+'11'!P122</f>
        <v>3</v>
      </c>
      <c r="K38" s="523"/>
      <c r="L38" s="524"/>
      <c r="M38" s="361"/>
      <c r="N38" s="362"/>
      <c r="O38" s="365">
        <f>+'11'!U122</f>
        <v>4369</v>
      </c>
      <c r="P38" s="434">
        <f>+'11'!AG122</f>
        <v>1076.192</v>
      </c>
      <c r="Q38" s="436">
        <f t="shared" si="1"/>
        <v>24.632455939574275</v>
      </c>
    </row>
    <row r="39" spans="2:17" ht="13.5" thickBot="1" x14ac:dyDescent="0.25">
      <c r="B39" s="521" t="str">
        <f>+'11'!B123:M123</f>
        <v>Муниципальная программа "Социальная поддержка граждан в Овюрском кожууне"</v>
      </c>
      <c r="C39" s="521"/>
      <c r="D39" s="521"/>
      <c r="E39" s="521"/>
      <c r="F39" s="522"/>
      <c r="G39" s="366" t="str">
        <f>+'11'!Q123</f>
        <v>0100000000</v>
      </c>
      <c r="H39" s="363">
        <f>+'11'!R123</f>
        <v>0</v>
      </c>
      <c r="I39" s="363">
        <f>+'11'!O123</f>
        <v>10</v>
      </c>
      <c r="J39" s="363">
        <f>+'11'!P123</f>
        <v>3</v>
      </c>
      <c r="K39" s="523"/>
      <c r="L39" s="524"/>
      <c r="M39" s="361"/>
      <c r="N39" s="362"/>
      <c r="O39" s="365">
        <f>+'11'!U123</f>
        <v>74.5</v>
      </c>
      <c r="P39" s="434">
        <f>+'11'!AG123</f>
        <v>0</v>
      </c>
      <c r="Q39" s="436">
        <f t="shared" si="1"/>
        <v>0</v>
      </c>
    </row>
    <row r="40" spans="2:17" ht="13.5" thickBot="1" x14ac:dyDescent="0.25">
      <c r="B40" s="521" t="str">
        <f>+'11'!B124:M124</f>
        <v>подпрограмма "Развитие мер социальной поддержки отдельным категориям граждан"</v>
      </c>
      <c r="C40" s="521"/>
      <c r="D40" s="521"/>
      <c r="E40" s="521"/>
      <c r="F40" s="522"/>
      <c r="G40" s="366" t="str">
        <f>+'11'!Q124</f>
        <v>0110000000</v>
      </c>
      <c r="H40" s="363">
        <f>+'11'!R124</f>
        <v>0</v>
      </c>
      <c r="I40" s="363">
        <f>+'11'!O124</f>
        <v>10</v>
      </c>
      <c r="J40" s="363">
        <f>+'11'!P124</f>
        <v>3</v>
      </c>
      <c r="K40" s="523"/>
      <c r="L40" s="524"/>
      <c r="M40" s="361"/>
      <c r="N40" s="362"/>
      <c r="O40" s="365">
        <f>+'11'!U124</f>
        <v>74.5</v>
      </c>
      <c r="P40" s="434">
        <f>+'11'!AG124</f>
        <v>0</v>
      </c>
      <c r="Q40" s="436">
        <f t="shared" si="1"/>
        <v>0</v>
      </c>
    </row>
    <row r="41" spans="2:17" ht="13.5" thickBot="1" x14ac:dyDescent="0.25">
      <c r="B41" s="521" t="str">
        <f>+'11'!B125:M125</f>
        <v>Обеспечение равной доступности услуг общественного транспорта на территории Республики Тыва  для отдельных категорий граждан, оказание мер социальной поддержки которым относится к ведению Российской Федерации и Республики Тыва</v>
      </c>
      <c r="C41" s="521"/>
      <c r="D41" s="521"/>
      <c r="E41" s="521"/>
      <c r="F41" s="522"/>
      <c r="G41" s="366" t="str">
        <f>+'11'!Q125</f>
        <v>0110376110</v>
      </c>
      <c r="H41" s="363">
        <f>+'11'!R125</f>
        <v>0</v>
      </c>
      <c r="I41" s="363">
        <f>+'11'!O125</f>
        <v>10</v>
      </c>
      <c r="J41" s="363">
        <f>+'11'!P125</f>
        <v>3</v>
      </c>
      <c r="K41" s="523"/>
      <c r="L41" s="524"/>
      <c r="M41" s="361"/>
      <c r="N41" s="362"/>
      <c r="O41" s="365">
        <f>+'11'!U125</f>
        <v>74.5</v>
      </c>
      <c r="P41" s="434">
        <f>+'11'!AG125</f>
        <v>0</v>
      </c>
      <c r="Q41" s="436">
        <f t="shared" si="1"/>
        <v>0</v>
      </c>
    </row>
    <row r="42" spans="2:17" ht="13.5" thickBot="1" x14ac:dyDescent="0.25">
      <c r="B42" s="521" t="str">
        <f>+'11'!B126:M126</f>
        <v>Социальное обеспечение и иные выплаты населению</v>
      </c>
      <c r="C42" s="521"/>
      <c r="D42" s="521"/>
      <c r="E42" s="521"/>
      <c r="F42" s="522"/>
      <c r="G42" s="366" t="str">
        <f>+'11'!Q126</f>
        <v>0110376110</v>
      </c>
      <c r="H42" s="363" t="str">
        <f>+'11'!R126</f>
        <v>300</v>
      </c>
      <c r="I42" s="363">
        <f>+'11'!O126</f>
        <v>10</v>
      </c>
      <c r="J42" s="363">
        <f>+'11'!P126</f>
        <v>3</v>
      </c>
      <c r="K42" s="523"/>
      <c r="L42" s="524"/>
      <c r="M42" s="361"/>
      <c r="N42" s="362"/>
      <c r="O42" s="365">
        <f>+'11'!U126</f>
        <v>74.5</v>
      </c>
      <c r="P42" s="434">
        <f>+'11'!AG126</f>
        <v>0</v>
      </c>
      <c r="Q42" s="436">
        <f t="shared" si="1"/>
        <v>0</v>
      </c>
    </row>
    <row r="43" spans="2:17" ht="13.5" thickBot="1" x14ac:dyDescent="0.25">
      <c r="B43" s="521" t="str">
        <f>+'11'!B127:M127</f>
        <v>Публичные нормативные социальные выплаты гражданам</v>
      </c>
      <c r="C43" s="521"/>
      <c r="D43" s="521"/>
      <c r="E43" s="521"/>
      <c r="F43" s="522"/>
      <c r="G43" s="366" t="str">
        <f>+'11'!Q127</f>
        <v>0110376110</v>
      </c>
      <c r="H43" s="363" t="str">
        <f>+'11'!R127</f>
        <v>310</v>
      </c>
      <c r="I43" s="363">
        <f>+'11'!O127</f>
        <v>10</v>
      </c>
      <c r="J43" s="363">
        <f>+'11'!P127</f>
        <v>3</v>
      </c>
      <c r="K43" s="523"/>
      <c r="L43" s="524"/>
      <c r="M43" s="361"/>
      <c r="N43" s="362"/>
      <c r="O43" s="365">
        <f>+'11'!U127</f>
        <v>74.5</v>
      </c>
      <c r="P43" s="434">
        <f>+'11'!AG127</f>
        <v>0</v>
      </c>
      <c r="Q43" s="436">
        <f t="shared" si="1"/>
        <v>0</v>
      </c>
    </row>
    <row r="44" spans="2:17" ht="13.5" thickBot="1" x14ac:dyDescent="0.25">
      <c r="B44" s="521" t="str">
        <f>+'11'!B128:M128</f>
        <v>Пособия, компенсации, меры социальной поддержки по публичным нормативным обязательствам</v>
      </c>
      <c r="C44" s="521"/>
      <c r="D44" s="521"/>
      <c r="E44" s="521"/>
      <c r="F44" s="522"/>
      <c r="G44" s="366" t="str">
        <f>+'11'!Q128</f>
        <v>0110376110</v>
      </c>
      <c r="H44" s="363" t="str">
        <f>+'11'!R128</f>
        <v>313</v>
      </c>
      <c r="I44" s="363">
        <f>+'11'!O128</f>
        <v>10</v>
      </c>
      <c r="J44" s="363">
        <f>+'11'!P128</f>
        <v>3</v>
      </c>
      <c r="K44" s="523"/>
      <c r="L44" s="524"/>
      <c r="M44" s="361"/>
      <c r="N44" s="362"/>
      <c r="O44" s="365">
        <f>+'11'!U128</f>
        <v>74.5</v>
      </c>
      <c r="P44" s="434">
        <f>+'11'!AG128</f>
        <v>0</v>
      </c>
      <c r="Q44" s="436">
        <f t="shared" si="1"/>
        <v>0</v>
      </c>
    </row>
    <row r="45" spans="2:17" ht="13.5" thickBot="1" x14ac:dyDescent="0.25">
      <c r="B45" s="521" t="str">
        <f>+'11'!B129:M129</f>
        <v>Муниципальная программа "Социальная поддержка граждан в Овюрском кожууне"</v>
      </c>
      <c r="C45" s="521"/>
      <c r="D45" s="521"/>
      <c r="E45" s="521"/>
      <c r="F45" s="522"/>
      <c r="G45" s="366" t="str">
        <f>+'11'!Q129</f>
        <v>0100000000</v>
      </c>
      <c r="H45" s="363">
        <f>+'11'!R129</f>
        <v>0</v>
      </c>
      <c r="I45" s="363">
        <f>+'11'!O129</f>
        <v>10</v>
      </c>
      <c r="J45" s="363">
        <f>+'11'!P129</f>
        <v>3</v>
      </c>
      <c r="K45" s="523"/>
      <c r="L45" s="524"/>
      <c r="M45" s="361"/>
      <c r="N45" s="362"/>
      <c r="O45" s="365">
        <f>+'11'!U129</f>
        <v>106</v>
      </c>
      <c r="P45" s="434">
        <f>+'11'!AG129</f>
        <v>16.763819999999999</v>
      </c>
      <c r="Q45" s="436">
        <f t="shared" si="1"/>
        <v>15.814924528301885</v>
      </c>
    </row>
    <row r="46" spans="2:17" ht="13.5" thickBot="1" x14ac:dyDescent="0.25">
      <c r="B46" s="521" t="str">
        <f>+'11'!B130:M130</f>
        <v>подпрограмма "Развитие мер социальной поддержки отдельным категориям граждан"</v>
      </c>
      <c r="C46" s="521"/>
      <c r="D46" s="521"/>
      <c r="E46" s="521"/>
      <c r="F46" s="522"/>
      <c r="G46" s="366" t="str">
        <f>+'11'!Q130</f>
        <v>0110000000</v>
      </c>
      <c r="H46" s="363">
        <f>+'11'!R130</f>
        <v>0</v>
      </c>
      <c r="I46" s="363">
        <f>+'11'!O130</f>
        <v>10</v>
      </c>
      <c r="J46" s="363">
        <f>+'11'!P130</f>
        <v>3</v>
      </c>
      <c r="K46" s="523"/>
      <c r="L46" s="524"/>
      <c r="M46" s="361"/>
      <c r="N46" s="362"/>
      <c r="O46" s="365">
        <f>+'11'!U130</f>
        <v>106</v>
      </c>
      <c r="P46" s="434">
        <f>+'11'!AG130</f>
        <v>16.763819999999999</v>
      </c>
      <c r="Q46" s="436">
        <f t="shared" si="1"/>
        <v>15.814924528301885</v>
      </c>
    </row>
    <row r="47" spans="2:17" ht="13.5" thickBot="1" x14ac:dyDescent="0.25">
      <c r="B47" s="521" t="str">
        <f>+'11'!B131:M131</f>
        <v>Федеральный Закон от 12 января 1996 года № 8-ФЗ  "О погребении и похоронном деле"</v>
      </c>
      <c r="C47" s="521"/>
      <c r="D47" s="521"/>
      <c r="E47" s="521"/>
      <c r="F47" s="522"/>
      <c r="G47" s="366" t="str">
        <f>+'11'!Q131</f>
        <v>0110476120</v>
      </c>
      <c r="H47" s="363">
        <f>+'11'!R131</f>
        <v>0</v>
      </c>
      <c r="I47" s="363">
        <f>+'11'!O131</f>
        <v>10</v>
      </c>
      <c r="J47" s="363">
        <f>+'11'!P131</f>
        <v>3</v>
      </c>
      <c r="K47" s="523"/>
      <c r="L47" s="524"/>
      <c r="M47" s="361"/>
      <c r="N47" s="362"/>
      <c r="O47" s="365">
        <f>+'11'!U131</f>
        <v>106</v>
      </c>
      <c r="P47" s="434">
        <f>+'11'!AG131</f>
        <v>16.763819999999999</v>
      </c>
      <c r="Q47" s="436">
        <f t="shared" si="1"/>
        <v>15.814924528301885</v>
      </c>
    </row>
    <row r="48" spans="2:17" ht="13.5" thickBot="1" x14ac:dyDescent="0.25">
      <c r="B48" s="521" t="str">
        <f>+'11'!B132:M132</f>
        <v>Социальное обеспечение и иные выплаты населению</v>
      </c>
      <c r="C48" s="521"/>
      <c r="D48" s="521"/>
      <c r="E48" s="521"/>
      <c r="F48" s="522"/>
      <c r="G48" s="366" t="str">
        <f>+'11'!Q132</f>
        <v>0110476120</v>
      </c>
      <c r="H48" s="363" t="str">
        <f>+'11'!R132</f>
        <v>300</v>
      </c>
      <c r="I48" s="363">
        <f>+'11'!O132</f>
        <v>10</v>
      </c>
      <c r="J48" s="363">
        <f>+'11'!P132</f>
        <v>3</v>
      </c>
      <c r="K48" s="523"/>
      <c r="L48" s="524"/>
      <c r="M48" s="361"/>
      <c r="N48" s="362"/>
      <c r="O48" s="365">
        <f>+'11'!U132</f>
        <v>106</v>
      </c>
      <c r="P48" s="434">
        <f>+'11'!AG132</f>
        <v>16.763819999999999</v>
      </c>
      <c r="Q48" s="436">
        <f t="shared" si="1"/>
        <v>15.814924528301885</v>
      </c>
    </row>
    <row r="49" spans="2:17" ht="13.5" thickBot="1" x14ac:dyDescent="0.25">
      <c r="B49" s="521" t="str">
        <f>+'11'!B133:M133</f>
        <v>Публичные нормативные социальные выплаты гражданам</v>
      </c>
      <c r="C49" s="521"/>
      <c r="D49" s="521"/>
      <c r="E49" s="521"/>
      <c r="F49" s="522"/>
      <c r="G49" s="366" t="str">
        <f>+'11'!Q133</f>
        <v>0110476120</v>
      </c>
      <c r="H49" s="363" t="str">
        <f>+'11'!R133</f>
        <v>310</v>
      </c>
      <c r="I49" s="363">
        <f>+'11'!O133</f>
        <v>10</v>
      </c>
      <c r="J49" s="363">
        <f>+'11'!P133</f>
        <v>3</v>
      </c>
      <c r="K49" s="523"/>
      <c r="L49" s="524"/>
      <c r="M49" s="361"/>
      <c r="N49" s="362"/>
      <c r="O49" s="365">
        <f>+'11'!U133</f>
        <v>106</v>
      </c>
      <c r="P49" s="434">
        <f>+'11'!AG133</f>
        <v>16.763819999999999</v>
      </c>
      <c r="Q49" s="436">
        <f t="shared" si="1"/>
        <v>15.814924528301885</v>
      </c>
    </row>
    <row r="50" spans="2:17" ht="13.5" thickBot="1" x14ac:dyDescent="0.25">
      <c r="B50" s="521" t="str">
        <f>+'11'!B134:M134</f>
        <v>Пособия, компенсации, меры социальной поддержки по публичным нормативным обязательствам</v>
      </c>
      <c r="C50" s="521"/>
      <c r="D50" s="521"/>
      <c r="E50" s="521"/>
      <c r="F50" s="522"/>
      <c r="G50" s="366" t="str">
        <f>+'11'!Q134</f>
        <v>0110476120</v>
      </c>
      <c r="H50" s="363" t="str">
        <f>+'11'!R134</f>
        <v>313</v>
      </c>
      <c r="I50" s="363">
        <f>+'11'!O134</f>
        <v>10</v>
      </c>
      <c r="J50" s="363">
        <f>+'11'!P134</f>
        <v>3</v>
      </c>
      <c r="K50" s="523"/>
      <c r="L50" s="524"/>
      <c r="M50" s="361"/>
      <c r="N50" s="362"/>
      <c r="O50" s="365">
        <f>+'11'!U134</f>
        <v>106</v>
      </c>
      <c r="P50" s="434">
        <f>+'11'!AG134</f>
        <v>16.763819999999999</v>
      </c>
      <c r="Q50" s="436">
        <f t="shared" si="1"/>
        <v>15.814924528301885</v>
      </c>
    </row>
    <row r="51" spans="2:17" ht="13.5" thickBot="1" x14ac:dyDescent="0.25">
      <c r="B51" s="521" t="str">
        <f>+'11'!B135:M135</f>
        <v>Муниципальная программа "Социальная поддержка граждан в Овюрском кожууне"</v>
      </c>
      <c r="C51" s="521"/>
      <c r="D51" s="521"/>
      <c r="E51" s="521"/>
      <c r="F51" s="522"/>
      <c r="G51" s="366" t="str">
        <f>+'11'!Q135</f>
        <v>0100000000</v>
      </c>
      <c r="H51" s="363">
        <f>+'11'!R135</f>
        <v>0</v>
      </c>
      <c r="I51" s="363">
        <f>+'11'!O135</f>
        <v>10</v>
      </c>
      <c r="J51" s="363">
        <f>+'11'!P135</f>
        <v>3</v>
      </c>
      <c r="K51" s="523"/>
      <c r="L51" s="524"/>
      <c r="M51" s="361"/>
      <c r="N51" s="362"/>
      <c r="O51" s="365">
        <f>+'11'!U135</f>
        <v>175</v>
      </c>
      <c r="P51" s="434">
        <f>+'11'!AG135</f>
        <v>33</v>
      </c>
      <c r="Q51" s="436">
        <f t="shared" si="1"/>
        <v>18.857142857142858</v>
      </c>
    </row>
    <row r="52" spans="2:17" ht="13.5" thickBot="1" x14ac:dyDescent="0.25">
      <c r="B52" s="521" t="str">
        <f>+'11'!B136:M136</f>
        <v>подпрограмма "Развитие мер социальной поддержки отдельным категориям граждан"</v>
      </c>
      <c r="C52" s="521"/>
      <c r="D52" s="521"/>
      <c r="E52" s="521"/>
      <c r="F52" s="522"/>
      <c r="G52" s="366" t="str">
        <f>+'11'!Q136</f>
        <v>0110000000</v>
      </c>
      <c r="H52" s="363">
        <f>+'11'!R136</f>
        <v>0</v>
      </c>
      <c r="I52" s="363">
        <f>+'11'!O136</f>
        <v>10</v>
      </c>
      <c r="J52" s="363">
        <f>+'11'!P136</f>
        <v>3</v>
      </c>
      <c r="K52" s="523"/>
      <c r="L52" s="524"/>
      <c r="M52" s="361"/>
      <c r="N52" s="362"/>
      <c r="O52" s="365">
        <f>+'11'!U136</f>
        <v>175</v>
      </c>
      <c r="P52" s="434">
        <f>+'11'!AG136</f>
        <v>33</v>
      </c>
      <c r="Q52" s="436">
        <f t="shared" si="1"/>
        <v>18.857142857142858</v>
      </c>
    </row>
    <row r="53" spans="2:17" ht="13.5" thickBot="1" x14ac:dyDescent="0.25">
      <c r="B53" s="521" t="str">
        <f>+'11'!B137:M137</f>
        <v>Создание условий для реализации муниципальной программы</v>
      </c>
      <c r="C53" s="521"/>
      <c r="D53" s="521"/>
      <c r="E53" s="521"/>
      <c r="F53" s="522"/>
      <c r="G53" s="366" t="str">
        <f>+'11'!Q137</f>
        <v>0110607020</v>
      </c>
      <c r="H53" s="363">
        <f>+'11'!R137</f>
        <v>0</v>
      </c>
      <c r="I53" s="363">
        <f>+'11'!O137</f>
        <v>10</v>
      </c>
      <c r="J53" s="363">
        <f>+'11'!P137</f>
        <v>3</v>
      </c>
      <c r="K53" s="523"/>
      <c r="L53" s="524"/>
      <c r="M53" s="361"/>
      <c r="N53" s="362"/>
      <c r="O53" s="365">
        <f>+'11'!U137</f>
        <v>175</v>
      </c>
      <c r="P53" s="434">
        <f>+'11'!AG137</f>
        <v>33</v>
      </c>
      <c r="Q53" s="436">
        <f t="shared" si="1"/>
        <v>18.857142857142858</v>
      </c>
    </row>
    <row r="54" spans="2:17" ht="13.5" thickBot="1" x14ac:dyDescent="0.25">
      <c r="B54" s="521" t="str">
        <f>+'11'!B138:M138</f>
        <v>Закупка товаров, работ и услуг для обеспечения государственных (муниципальных) нужд</v>
      </c>
      <c r="C54" s="521"/>
      <c r="D54" s="521"/>
      <c r="E54" s="521"/>
      <c r="F54" s="522"/>
      <c r="G54" s="366" t="str">
        <f>+'11'!Q138</f>
        <v>0110607020</v>
      </c>
      <c r="H54" s="363" t="str">
        <f>+'11'!R138</f>
        <v>200</v>
      </c>
      <c r="I54" s="363">
        <f>+'11'!O138</f>
        <v>10</v>
      </c>
      <c r="J54" s="363">
        <f>+'11'!P138</f>
        <v>3</v>
      </c>
      <c r="K54" s="523"/>
      <c r="L54" s="524"/>
      <c r="M54" s="361"/>
      <c r="N54" s="362"/>
      <c r="O54" s="365">
        <f>+'11'!U138</f>
        <v>175</v>
      </c>
      <c r="P54" s="434">
        <f>+'11'!AG138</f>
        <v>33</v>
      </c>
      <c r="Q54" s="436">
        <f t="shared" si="1"/>
        <v>18.857142857142858</v>
      </c>
    </row>
    <row r="55" spans="2:17" ht="13.5" thickBot="1" x14ac:dyDescent="0.25">
      <c r="B55" s="521" t="str">
        <f>+'11'!B139:M139</f>
        <v>Иные закупки товаров, работ и услуг для обеспечения государственных (муниципальных) нужд</v>
      </c>
      <c r="C55" s="521"/>
      <c r="D55" s="521"/>
      <c r="E55" s="521"/>
      <c r="F55" s="522"/>
      <c r="G55" s="366" t="str">
        <f>+'11'!Q139</f>
        <v>0110607020</v>
      </c>
      <c r="H55" s="363" t="str">
        <f>+'11'!R139</f>
        <v>240</v>
      </c>
      <c r="I55" s="363">
        <f>+'11'!O139</f>
        <v>10</v>
      </c>
      <c r="J55" s="363">
        <f>+'11'!P139</f>
        <v>3</v>
      </c>
      <c r="K55" s="523"/>
      <c r="L55" s="524"/>
      <c r="M55" s="361"/>
      <c r="N55" s="362"/>
      <c r="O55" s="365">
        <f>+'11'!U139</f>
        <v>175</v>
      </c>
      <c r="P55" s="434">
        <f>+'11'!AG139</f>
        <v>33</v>
      </c>
      <c r="Q55" s="436">
        <f t="shared" si="1"/>
        <v>18.857142857142858</v>
      </c>
    </row>
    <row r="56" spans="2:17" ht="13.5" thickBot="1" x14ac:dyDescent="0.25">
      <c r="B56" s="521" t="str">
        <f>+'11'!B140:M140</f>
        <v>Прочая закупка товаров, работ и услуг</v>
      </c>
      <c r="C56" s="521"/>
      <c r="D56" s="521"/>
      <c r="E56" s="521"/>
      <c r="F56" s="522"/>
      <c r="G56" s="366" t="str">
        <f>+'11'!Q140</f>
        <v>0110607020</v>
      </c>
      <c r="H56" s="363" t="str">
        <f>+'11'!R140</f>
        <v>244</v>
      </c>
      <c r="I56" s="363">
        <f>+'11'!O140</f>
        <v>10</v>
      </c>
      <c r="J56" s="363">
        <f>+'11'!P140</f>
        <v>3</v>
      </c>
      <c r="K56" s="523"/>
      <c r="L56" s="524"/>
      <c r="M56" s="361"/>
      <c r="N56" s="362"/>
      <c r="O56" s="365">
        <f>+'11'!U140</f>
        <v>175</v>
      </c>
      <c r="P56" s="434">
        <f>+'11'!AG140</f>
        <v>33</v>
      </c>
      <c r="Q56" s="436">
        <f t="shared" si="1"/>
        <v>18.857142857142858</v>
      </c>
    </row>
    <row r="57" spans="2:17" ht="13.5" thickBot="1" x14ac:dyDescent="0.25">
      <c r="B57" s="521" t="str">
        <f>+'11'!B141:M141</f>
        <v>Муниципальная программа "Социальная поддержка граждан в Овюрском кожууне"</v>
      </c>
      <c r="C57" s="521"/>
      <c r="D57" s="521"/>
      <c r="E57" s="521"/>
      <c r="F57" s="522"/>
      <c r="G57" s="366" t="str">
        <f>+'11'!Q141</f>
        <v>0100000000</v>
      </c>
      <c r="H57" s="363">
        <f>+'11'!R141</f>
        <v>0</v>
      </c>
      <c r="I57" s="363">
        <f>+'11'!O141</f>
        <v>10</v>
      </c>
      <c r="J57" s="363">
        <f>+'11'!P141</f>
        <v>3</v>
      </c>
      <c r="K57" s="523"/>
      <c r="L57" s="524"/>
      <c r="M57" s="361"/>
      <c r="N57" s="362"/>
      <c r="O57" s="365">
        <f>+'11'!U141</f>
        <v>4386</v>
      </c>
      <c r="P57" s="434">
        <f>+'11'!AG141</f>
        <v>1127.2629999999999</v>
      </c>
      <c r="Q57" s="436">
        <f t="shared" si="1"/>
        <v>25.701390788873685</v>
      </c>
    </row>
    <row r="58" spans="2:17" ht="13.5" thickBot="1" x14ac:dyDescent="0.25">
      <c r="B58" s="521" t="str">
        <f>+'11'!B142:M142</f>
        <v>подпрограмма "Социальная поддержка семьи и детей"</v>
      </c>
      <c r="C58" s="521"/>
      <c r="D58" s="521"/>
      <c r="E58" s="521"/>
      <c r="F58" s="522"/>
      <c r="G58" s="366" t="str">
        <f>+'11'!Q142</f>
        <v>0120000000</v>
      </c>
      <c r="H58" s="363">
        <f>+'11'!R142</f>
        <v>0</v>
      </c>
      <c r="I58" s="363">
        <f>+'11'!O142</f>
        <v>10</v>
      </c>
      <c r="J58" s="363">
        <f>+'11'!P142</f>
        <v>3</v>
      </c>
      <c r="K58" s="523"/>
      <c r="L58" s="524"/>
      <c r="M58" s="361"/>
      <c r="N58" s="362"/>
      <c r="O58" s="365">
        <f>+'11'!U142</f>
        <v>4386</v>
      </c>
      <c r="P58" s="434">
        <f>+'11'!AG142</f>
        <v>1127.2629999999999</v>
      </c>
      <c r="Q58" s="436">
        <f t="shared" si="1"/>
        <v>25.701390788873685</v>
      </c>
    </row>
    <row r="59" spans="2:17" ht="13.5" thickBot="1" x14ac:dyDescent="0.25">
      <c r="B59" s="521" t="str">
        <f>+'11'!B143:M143</f>
        <v>Выплата ежемесячного пособия на ребенка</v>
      </c>
      <c r="C59" s="521"/>
      <c r="D59" s="521"/>
      <c r="E59" s="521"/>
      <c r="F59" s="522"/>
      <c r="G59" s="366" t="str">
        <f>+'11'!Q143</f>
        <v>0120176070</v>
      </c>
      <c r="H59" s="363">
        <f>+'11'!R143</f>
        <v>0</v>
      </c>
      <c r="I59" s="363">
        <f>+'11'!O143</f>
        <v>10</v>
      </c>
      <c r="J59" s="363">
        <f>+'11'!P143</f>
        <v>3</v>
      </c>
      <c r="K59" s="523"/>
      <c r="L59" s="524"/>
      <c r="M59" s="361"/>
      <c r="N59" s="362"/>
      <c r="O59" s="365">
        <f>+'11'!U143</f>
        <v>4386</v>
      </c>
      <c r="P59" s="434">
        <f>+'11'!AG143</f>
        <v>1127.2629999999999</v>
      </c>
      <c r="Q59" s="436">
        <f t="shared" si="1"/>
        <v>25.701390788873685</v>
      </c>
    </row>
    <row r="60" spans="2:17" ht="13.5" thickBot="1" x14ac:dyDescent="0.25">
      <c r="B60" s="521" t="str">
        <f>+'11'!B144:M144</f>
        <v>Закупка товаров, работ и услуг для обеспечения государственных (муниципальных) нужд</v>
      </c>
      <c r="C60" s="521"/>
      <c r="D60" s="521"/>
      <c r="E60" s="521"/>
      <c r="F60" s="522"/>
      <c r="G60" s="366" t="str">
        <f>+'11'!Q144</f>
        <v>0120176070</v>
      </c>
      <c r="H60" s="363" t="str">
        <f>+'11'!R144</f>
        <v>200</v>
      </c>
      <c r="I60" s="363">
        <f>+'11'!O144</f>
        <v>10</v>
      </c>
      <c r="J60" s="363">
        <f>+'11'!P144</f>
        <v>3</v>
      </c>
      <c r="K60" s="523"/>
      <c r="L60" s="524"/>
      <c r="M60" s="361"/>
      <c r="N60" s="362"/>
      <c r="O60" s="365">
        <f>+'11'!U144</f>
        <v>3.8</v>
      </c>
      <c r="P60" s="434">
        <f>+'11'!AG144</f>
        <v>0.223</v>
      </c>
      <c r="Q60" s="436">
        <f t="shared" si="1"/>
        <v>5.8684210526315788</v>
      </c>
    </row>
    <row r="61" spans="2:17" ht="13.5" thickBot="1" x14ac:dyDescent="0.25">
      <c r="B61" s="521" t="str">
        <f>+'11'!B145:M145</f>
        <v>Иные закупки товаров, работ и услуг для обеспечения государственных (муниципальных) нужд</v>
      </c>
      <c r="C61" s="521"/>
      <c r="D61" s="521"/>
      <c r="E61" s="521"/>
      <c r="F61" s="522"/>
      <c r="G61" s="366" t="str">
        <f>+'11'!Q145</f>
        <v>0120176070</v>
      </c>
      <c r="H61" s="363" t="str">
        <f>+'11'!R145</f>
        <v>240</v>
      </c>
      <c r="I61" s="363">
        <f>+'11'!O145</f>
        <v>10</v>
      </c>
      <c r="J61" s="363">
        <f>+'11'!P145</f>
        <v>3</v>
      </c>
      <c r="K61" s="523"/>
      <c r="L61" s="524"/>
      <c r="M61" s="361"/>
      <c r="N61" s="362"/>
      <c r="O61" s="365">
        <f>+'11'!U145</f>
        <v>3.8</v>
      </c>
      <c r="P61" s="434">
        <f>+'11'!AG145</f>
        <v>0.223</v>
      </c>
      <c r="Q61" s="436">
        <f t="shared" si="1"/>
        <v>5.8684210526315788</v>
      </c>
    </row>
    <row r="62" spans="2:17" ht="13.5" thickBot="1" x14ac:dyDescent="0.25">
      <c r="B62" s="521" t="str">
        <f>+'11'!B146:M146</f>
        <v>Прочая закупка товаров, работ и услуг</v>
      </c>
      <c r="C62" s="521"/>
      <c r="D62" s="521"/>
      <c r="E62" s="521"/>
      <c r="F62" s="522"/>
      <c r="G62" s="366" t="str">
        <f>+'11'!Q146</f>
        <v>0120176070</v>
      </c>
      <c r="H62" s="363" t="str">
        <f>+'11'!R146</f>
        <v>244</v>
      </c>
      <c r="I62" s="363">
        <f>+'11'!O146</f>
        <v>10</v>
      </c>
      <c r="J62" s="363">
        <f>+'11'!P146</f>
        <v>3</v>
      </c>
      <c r="K62" s="523"/>
      <c r="L62" s="524"/>
      <c r="M62" s="361"/>
      <c r="N62" s="362"/>
      <c r="O62" s="365">
        <f>+'11'!U146</f>
        <v>3.8</v>
      </c>
      <c r="P62" s="434">
        <f>+'11'!AG146</f>
        <v>0.223</v>
      </c>
      <c r="Q62" s="436">
        <f t="shared" si="1"/>
        <v>5.8684210526315788</v>
      </c>
    </row>
    <row r="63" spans="2:17" ht="13.5" thickBot="1" x14ac:dyDescent="0.25">
      <c r="B63" s="521" t="str">
        <f>+'11'!B147:M147</f>
        <v>Социальное обеспечение и иные выплаты населению</v>
      </c>
      <c r="C63" s="521"/>
      <c r="D63" s="521"/>
      <c r="E63" s="521"/>
      <c r="F63" s="522"/>
      <c r="G63" s="366" t="str">
        <f>+'11'!Q147</f>
        <v>0120176070</v>
      </c>
      <c r="H63" s="363" t="str">
        <f>+'11'!R147</f>
        <v>300</v>
      </c>
      <c r="I63" s="363">
        <f>+'11'!O147</f>
        <v>10</v>
      </c>
      <c r="J63" s="363">
        <f>+'11'!P147</f>
        <v>3</v>
      </c>
      <c r="K63" s="523"/>
      <c r="L63" s="524"/>
      <c r="M63" s="361"/>
      <c r="N63" s="362"/>
      <c r="O63" s="365">
        <f>+'11'!U147</f>
        <v>4382.2</v>
      </c>
      <c r="P63" s="434">
        <f>+'11'!AG147</f>
        <v>1127.04</v>
      </c>
      <c r="Q63" s="436">
        <f t="shared" si="1"/>
        <v>25.718588836657386</v>
      </c>
    </row>
    <row r="64" spans="2:17" ht="13.5" thickBot="1" x14ac:dyDescent="0.25">
      <c r="B64" s="521" t="str">
        <f>+'11'!B148:M148</f>
        <v>Публичные нормативные социальные выплаты гражданам</v>
      </c>
      <c r="C64" s="521"/>
      <c r="D64" s="521"/>
      <c r="E64" s="521"/>
      <c r="F64" s="522"/>
      <c r="G64" s="366" t="str">
        <f>+'11'!Q148</f>
        <v>0120176070</v>
      </c>
      <c r="H64" s="363" t="str">
        <f>+'11'!R148</f>
        <v>310</v>
      </c>
      <c r="I64" s="363">
        <f>+'11'!O148</f>
        <v>10</v>
      </c>
      <c r="J64" s="363">
        <f>+'11'!P148</f>
        <v>3</v>
      </c>
      <c r="K64" s="523"/>
      <c r="L64" s="524"/>
      <c r="M64" s="361"/>
      <c r="N64" s="362"/>
      <c r="O64" s="365">
        <f>+'11'!U148</f>
        <v>4382.2</v>
      </c>
      <c r="P64" s="434">
        <f>+'11'!AG148</f>
        <v>1127.04</v>
      </c>
      <c r="Q64" s="436">
        <f t="shared" si="1"/>
        <v>25.718588836657386</v>
      </c>
    </row>
    <row r="65" spans="2:17" ht="13.5" thickBot="1" x14ac:dyDescent="0.25">
      <c r="B65" s="521" t="str">
        <f>+'11'!B149:M149</f>
        <v>Пособия, компенсации, меры социальной поддержки по публичным нормативным обязательствам</v>
      </c>
      <c r="C65" s="521"/>
      <c r="D65" s="521"/>
      <c r="E65" s="521"/>
      <c r="F65" s="522"/>
      <c r="G65" s="366" t="str">
        <f>+'11'!Q149</f>
        <v>0120176070</v>
      </c>
      <c r="H65" s="363" t="str">
        <f>+'11'!R149</f>
        <v>313</v>
      </c>
      <c r="I65" s="363">
        <f>+'11'!O149</f>
        <v>10</v>
      </c>
      <c r="J65" s="363">
        <f>+'11'!P149</f>
        <v>3</v>
      </c>
      <c r="K65" s="523"/>
      <c r="L65" s="524"/>
      <c r="M65" s="361"/>
      <c r="N65" s="362"/>
      <c r="O65" s="365">
        <f>+'11'!U149</f>
        <v>4382.2</v>
      </c>
      <c r="P65" s="434">
        <f>+'11'!AG149</f>
        <v>1127.04</v>
      </c>
      <c r="Q65" s="436">
        <f t="shared" si="1"/>
        <v>25.718588836657386</v>
      </c>
    </row>
    <row r="66" spans="2:17" ht="13.5" thickBot="1" x14ac:dyDescent="0.25">
      <c r="B66" s="521" t="str">
        <f>+'11'!B150:M150</f>
        <v>Муниципальная программа "Социальная поддержка граждан в Овюрском кожууне"</v>
      </c>
      <c r="C66" s="521"/>
      <c r="D66" s="521"/>
      <c r="E66" s="521"/>
      <c r="F66" s="522"/>
      <c r="G66" s="366" t="str">
        <f>+'11'!Q150</f>
        <v>0100000000</v>
      </c>
      <c r="H66" s="363">
        <f>+'11'!R150</f>
        <v>0</v>
      </c>
      <c r="I66" s="363">
        <f>+'11'!O150</f>
        <v>10</v>
      </c>
      <c r="J66" s="363">
        <f>+'11'!P150</f>
        <v>3</v>
      </c>
      <c r="K66" s="523"/>
      <c r="L66" s="524"/>
      <c r="M66" s="361"/>
      <c r="N66" s="362"/>
      <c r="O66" s="365">
        <f>+'11'!U150</f>
        <v>3055</v>
      </c>
      <c r="P66" s="434">
        <f>+'11'!AG150</f>
        <v>1536.45</v>
      </c>
      <c r="Q66" s="436">
        <f t="shared" si="1"/>
        <v>50.292962356792145</v>
      </c>
    </row>
    <row r="67" spans="2:17" ht="13.5" thickBot="1" x14ac:dyDescent="0.25">
      <c r="B67" s="521" t="str">
        <f>+'11'!B151:M151</f>
        <v>подпрограмма "Обеспечение социальной поддержки граждан на оплату жилого помещения и коммунальных услуг"</v>
      </c>
      <c r="C67" s="521"/>
      <c r="D67" s="521"/>
      <c r="E67" s="521"/>
      <c r="F67" s="522"/>
      <c r="G67" s="366" t="str">
        <f>+'11'!Q151</f>
        <v>0130000000</v>
      </c>
      <c r="H67" s="363">
        <f>+'11'!R151</f>
        <v>0</v>
      </c>
      <c r="I67" s="363">
        <f>+'11'!O151</f>
        <v>10</v>
      </c>
      <c r="J67" s="363">
        <f>+'11'!P151</f>
        <v>3</v>
      </c>
      <c r="K67" s="523"/>
      <c r="L67" s="524"/>
      <c r="M67" s="361"/>
      <c r="N67" s="362"/>
      <c r="O67" s="365">
        <f>+'11'!U151</f>
        <v>3055</v>
      </c>
      <c r="P67" s="434">
        <f>+'11'!AG151</f>
        <v>1536.45</v>
      </c>
      <c r="Q67" s="436">
        <f t="shared" si="1"/>
        <v>50.292962356792145</v>
      </c>
    </row>
    <row r="68" spans="2:17" ht="13.5" thickBot="1" x14ac:dyDescent="0.25">
      <c r="B68" s="521" t="str">
        <f>+'11'!B152:M152</f>
        <v>Субвенции на оплату жилищно-коммунальных услуг отдельным категориям граждан</v>
      </c>
      <c r="C68" s="521"/>
      <c r="D68" s="521"/>
      <c r="E68" s="521"/>
      <c r="F68" s="522"/>
      <c r="G68" s="366" t="str">
        <f>+'11'!Q152</f>
        <v>0130152500</v>
      </c>
      <c r="H68" s="363">
        <f>+'11'!R152</f>
        <v>0</v>
      </c>
      <c r="I68" s="363">
        <f>+'11'!O152</f>
        <v>10</v>
      </c>
      <c r="J68" s="363">
        <f>+'11'!P152</f>
        <v>3</v>
      </c>
      <c r="K68" s="523"/>
      <c r="L68" s="524"/>
      <c r="M68" s="361"/>
      <c r="N68" s="362"/>
      <c r="O68" s="365">
        <f>+'11'!U152</f>
        <v>3055</v>
      </c>
      <c r="P68" s="434">
        <f>+'11'!AG152</f>
        <v>1536.45</v>
      </c>
      <c r="Q68" s="436">
        <f t="shared" si="1"/>
        <v>50.292962356792145</v>
      </c>
    </row>
    <row r="69" spans="2:17" ht="13.5" thickBot="1" x14ac:dyDescent="0.25">
      <c r="B69" s="521" t="str">
        <f>+'11'!B153:M153</f>
        <v>Закупка товаров, работ и услуг для обеспечения государственных (муниципальных) нужд</v>
      </c>
      <c r="C69" s="521"/>
      <c r="D69" s="521"/>
      <c r="E69" s="521"/>
      <c r="F69" s="522"/>
      <c r="G69" s="366" t="str">
        <f>+'11'!Q153</f>
        <v>0130152500</v>
      </c>
      <c r="H69" s="363" t="str">
        <f>+'11'!R153</f>
        <v>200</v>
      </c>
      <c r="I69" s="363">
        <f>+'11'!O153</f>
        <v>10</v>
      </c>
      <c r="J69" s="363">
        <f>+'11'!P153</f>
        <v>3</v>
      </c>
      <c r="K69" s="523"/>
      <c r="L69" s="524"/>
      <c r="M69" s="361"/>
      <c r="N69" s="362"/>
      <c r="O69" s="365">
        <f>+'11'!U153</f>
        <v>15.2</v>
      </c>
      <c r="P69" s="434">
        <f>+'11'!AG153</f>
        <v>3.6116799999999998</v>
      </c>
      <c r="Q69" s="436">
        <f t="shared" si="1"/>
        <v>23.761052631578945</v>
      </c>
    </row>
    <row r="70" spans="2:17" ht="13.5" thickBot="1" x14ac:dyDescent="0.25">
      <c r="B70" s="521" t="str">
        <f>+'11'!B154:M154</f>
        <v>Иные закупки товаров, работ и услуг для обеспечения государственных (муниципальных) нужд</v>
      </c>
      <c r="C70" s="521"/>
      <c r="D70" s="521"/>
      <c r="E70" s="521"/>
      <c r="F70" s="522"/>
      <c r="G70" s="366" t="str">
        <f>+'11'!Q154</f>
        <v>0130152500</v>
      </c>
      <c r="H70" s="363" t="str">
        <f>+'11'!R154</f>
        <v>240</v>
      </c>
      <c r="I70" s="363">
        <f>+'11'!O154</f>
        <v>10</v>
      </c>
      <c r="J70" s="363">
        <f>+'11'!P154</f>
        <v>3</v>
      </c>
      <c r="K70" s="523"/>
      <c r="L70" s="524"/>
      <c r="M70" s="361"/>
      <c r="N70" s="362"/>
      <c r="O70" s="365">
        <f>+'11'!U154</f>
        <v>15.2</v>
      </c>
      <c r="P70" s="434">
        <f>+'11'!AG154</f>
        <v>3.6116799999999998</v>
      </c>
      <c r="Q70" s="436">
        <f t="shared" si="1"/>
        <v>23.761052631578945</v>
      </c>
    </row>
    <row r="71" spans="2:17" ht="13.5" thickBot="1" x14ac:dyDescent="0.25">
      <c r="B71" s="521" t="str">
        <f>+'11'!B155:M155</f>
        <v>Прочая закупка товаров, работ и услуг</v>
      </c>
      <c r="C71" s="521"/>
      <c r="D71" s="521"/>
      <c r="E71" s="521"/>
      <c r="F71" s="522"/>
      <c r="G71" s="366" t="str">
        <f>+'11'!Q155</f>
        <v>0130152500</v>
      </c>
      <c r="H71" s="363" t="str">
        <f>+'11'!R155</f>
        <v>244</v>
      </c>
      <c r="I71" s="363">
        <f>+'11'!O155</f>
        <v>10</v>
      </c>
      <c r="J71" s="363">
        <f>+'11'!P155</f>
        <v>3</v>
      </c>
      <c r="K71" s="523"/>
      <c r="L71" s="524"/>
      <c r="M71" s="361"/>
      <c r="N71" s="362"/>
      <c r="O71" s="365">
        <f>+'11'!U155</f>
        <v>15.2</v>
      </c>
      <c r="P71" s="434">
        <f>+'11'!AG155</f>
        <v>3.6116799999999998</v>
      </c>
      <c r="Q71" s="436">
        <f t="shared" si="1"/>
        <v>23.761052631578945</v>
      </c>
    </row>
    <row r="72" spans="2:17" ht="13.5" thickBot="1" x14ac:dyDescent="0.25">
      <c r="B72" s="521" t="str">
        <f>+'11'!B156:M156</f>
        <v>Социальное обеспечение и иные выплаты населению</v>
      </c>
      <c r="C72" s="521"/>
      <c r="D72" s="521"/>
      <c r="E72" s="521"/>
      <c r="F72" s="522"/>
      <c r="G72" s="366" t="str">
        <f>+'11'!Q156</f>
        <v>0130152500</v>
      </c>
      <c r="H72" s="363" t="str">
        <f>+'11'!R156</f>
        <v>300</v>
      </c>
      <c r="I72" s="363">
        <f>+'11'!O156</f>
        <v>10</v>
      </c>
      <c r="J72" s="363">
        <f>+'11'!P156</f>
        <v>3</v>
      </c>
      <c r="K72" s="523"/>
      <c r="L72" s="524"/>
      <c r="M72" s="361"/>
      <c r="N72" s="362"/>
      <c r="O72" s="365">
        <f>+'11'!U156</f>
        <v>3039.8</v>
      </c>
      <c r="P72" s="434">
        <f>+'11'!AG156</f>
        <v>1532.8383200000001</v>
      </c>
      <c r="Q72" s="436">
        <f t="shared" si="1"/>
        <v>50.425630633594309</v>
      </c>
    </row>
    <row r="73" spans="2:17" ht="13.5" thickBot="1" x14ac:dyDescent="0.25">
      <c r="B73" s="521" t="str">
        <f>+'11'!B157:M157</f>
        <v>Социальные выплаты гражданам, кроме публичных нормативных социальных выплат</v>
      </c>
      <c r="C73" s="521"/>
      <c r="D73" s="521"/>
      <c r="E73" s="521"/>
      <c r="F73" s="522"/>
      <c r="G73" s="366" t="str">
        <f>+'11'!Q157</f>
        <v>0130152500</v>
      </c>
      <c r="H73" s="363" t="str">
        <f>+'11'!R157</f>
        <v>320</v>
      </c>
      <c r="I73" s="363">
        <f>+'11'!O157</f>
        <v>10</v>
      </c>
      <c r="J73" s="363">
        <f>+'11'!P157</f>
        <v>3</v>
      </c>
      <c r="K73" s="523"/>
      <c r="L73" s="524"/>
      <c r="M73" s="361"/>
      <c r="N73" s="362"/>
      <c r="O73" s="365">
        <f>+'11'!U157</f>
        <v>3039.8</v>
      </c>
      <c r="P73" s="434">
        <f>+'11'!AG157</f>
        <v>1532.8383200000001</v>
      </c>
      <c r="Q73" s="436">
        <f t="shared" si="1"/>
        <v>50.425630633594309</v>
      </c>
    </row>
    <row r="74" spans="2:17" ht="13.5" thickBot="1" x14ac:dyDescent="0.25">
      <c r="B74" s="521" t="str">
        <f>+'11'!B158:M158</f>
        <v>Пособия, компенсации и иные социальные выплаты гражданам, кроме публичных нормативных обязательств</v>
      </c>
      <c r="C74" s="521"/>
      <c r="D74" s="521"/>
      <c r="E74" s="521"/>
      <c r="F74" s="522"/>
      <c r="G74" s="366" t="str">
        <f>+'11'!Q158</f>
        <v>0130152500</v>
      </c>
      <c r="H74" s="363" t="str">
        <f>+'11'!R158</f>
        <v>321</v>
      </c>
      <c r="I74" s="363">
        <f>+'11'!O158</f>
        <v>10</v>
      </c>
      <c r="J74" s="363">
        <f>+'11'!P158</f>
        <v>3</v>
      </c>
      <c r="K74" s="523"/>
      <c r="L74" s="524"/>
      <c r="M74" s="361"/>
      <c r="N74" s="362"/>
      <c r="O74" s="365">
        <f>+'11'!U158</f>
        <v>3039.8</v>
      </c>
      <c r="P74" s="434">
        <f>+'11'!AG158</f>
        <v>1532.8383200000001</v>
      </c>
      <c r="Q74" s="436">
        <f t="shared" si="1"/>
        <v>50.425630633594309</v>
      </c>
    </row>
    <row r="75" spans="2:17" ht="13.5" thickBot="1" x14ac:dyDescent="0.25">
      <c r="B75" s="521" t="str">
        <f>+'11'!B159:M159</f>
        <v>Муниципальная программа "Социальная поддержка граждан в Овюрском кожууне"</v>
      </c>
      <c r="C75" s="521"/>
      <c r="D75" s="521"/>
      <c r="E75" s="521"/>
      <c r="F75" s="522"/>
      <c r="G75" s="366" t="str">
        <f>+'11'!Q159</f>
        <v>0100000000</v>
      </c>
      <c r="H75" s="363">
        <f>+'11'!R159</f>
        <v>0</v>
      </c>
      <c r="I75" s="363">
        <f>+'11'!O159</f>
        <v>10</v>
      </c>
      <c r="J75" s="363">
        <f>+'11'!P159</f>
        <v>3</v>
      </c>
      <c r="K75" s="523"/>
      <c r="L75" s="524"/>
      <c r="M75" s="361"/>
      <c r="N75" s="362"/>
      <c r="O75" s="365">
        <f>+'11'!U159</f>
        <v>3480</v>
      </c>
      <c r="P75" s="434">
        <f>+'11'!AG159</f>
        <v>550</v>
      </c>
      <c r="Q75" s="436">
        <f t="shared" si="1"/>
        <v>15.804597701149426</v>
      </c>
    </row>
    <row r="76" spans="2:17" ht="13.5" thickBot="1" x14ac:dyDescent="0.25">
      <c r="B76" s="521" t="str">
        <f>+'11'!B160:M160</f>
        <v>подпрограмма "Обеспечение социальной поддержки граждан на оплату жилого помещения и коммунальных услуг"</v>
      </c>
      <c r="C76" s="521"/>
      <c r="D76" s="521"/>
      <c r="E76" s="521"/>
      <c r="F76" s="522"/>
      <c r="G76" s="366" t="str">
        <f>+'11'!Q160</f>
        <v>0130000000</v>
      </c>
      <c r="H76" s="363">
        <f>+'11'!R160</f>
        <v>0</v>
      </c>
      <c r="I76" s="363">
        <f>+'11'!O160</f>
        <v>10</v>
      </c>
      <c r="J76" s="363">
        <f>+'11'!P160</f>
        <v>3</v>
      </c>
      <c r="K76" s="523"/>
      <c r="L76" s="524"/>
      <c r="M76" s="361"/>
      <c r="N76" s="362"/>
      <c r="O76" s="365">
        <f>+'11'!U160</f>
        <v>3480</v>
      </c>
      <c r="P76" s="434">
        <f>+'11'!AG160</f>
        <v>550</v>
      </c>
      <c r="Q76" s="436">
        <f t="shared" si="1"/>
        <v>15.804597701149426</v>
      </c>
    </row>
    <row r="77" spans="2:17" ht="13.5" thickBot="1" x14ac:dyDescent="0.25">
      <c r="B77" s="521" t="str">
        <f>+'11'!B161:M161</f>
        <v>Предоставление гражданам субсидий на оплату жилого помещения и коммунальных услуг</v>
      </c>
      <c r="C77" s="521"/>
      <c r="D77" s="521"/>
      <c r="E77" s="521"/>
      <c r="F77" s="522"/>
      <c r="G77" s="366" t="str">
        <f>+'11'!Q161</f>
        <v>0130276030</v>
      </c>
      <c r="H77" s="363">
        <f>+'11'!R161</f>
        <v>0</v>
      </c>
      <c r="I77" s="363">
        <f>+'11'!O161</f>
        <v>10</v>
      </c>
      <c r="J77" s="363">
        <f>+'11'!P161</f>
        <v>3</v>
      </c>
      <c r="K77" s="523"/>
      <c r="L77" s="524"/>
      <c r="M77" s="361"/>
      <c r="N77" s="362"/>
      <c r="O77" s="365">
        <f>+'11'!U161</f>
        <v>3480</v>
      </c>
      <c r="P77" s="434">
        <f>+'11'!AG161</f>
        <v>550</v>
      </c>
      <c r="Q77" s="436">
        <f t="shared" si="1"/>
        <v>15.804597701149426</v>
      </c>
    </row>
    <row r="78" spans="2:17" ht="13.5" thickBot="1" x14ac:dyDescent="0.25">
      <c r="B78" s="521" t="str">
        <f>+'11'!B162:M162</f>
        <v>Закупка товаров, работ и услуг для обеспечения государственных (муниципальных) нужд</v>
      </c>
      <c r="C78" s="521"/>
      <c r="D78" s="521"/>
      <c r="E78" s="521"/>
      <c r="F78" s="522"/>
      <c r="G78" s="366" t="str">
        <f>+'11'!Q162</f>
        <v>0130276030</v>
      </c>
      <c r="H78" s="363" t="str">
        <f>+'11'!R162</f>
        <v>200</v>
      </c>
      <c r="I78" s="363">
        <f>+'11'!O162</f>
        <v>10</v>
      </c>
      <c r="J78" s="363">
        <f>+'11'!P162</f>
        <v>3</v>
      </c>
      <c r="K78" s="523"/>
      <c r="L78" s="524"/>
      <c r="M78" s="361"/>
      <c r="N78" s="362"/>
      <c r="O78" s="365">
        <f>+'11'!U162</f>
        <v>15.7</v>
      </c>
      <c r="P78" s="434">
        <f>+'11'!AG162</f>
        <v>8.32151</v>
      </c>
      <c r="Q78" s="436">
        <f t="shared" si="1"/>
        <v>53.003248407643312</v>
      </c>
    </row>
    <row r="79" spans="2:17" ht="13.5" thickBot="1" x14ac:dyDescent="0.25">
      <c r="B79" s="521" t="str">
        <f>+'11'!B163:M163</f>
        <v>Иные закупки товаров, работ и услуг для обеспечения государственных (муниципальных) нужд</v>
      </c>
      <c r="C79" s="521"/>
      <c r="D79" s="521"/>
      <c r="E79" s="521"/>
      <c r="F79" s="522"/>
      <c r="G79" s="366" t="str">
        <f>+'11'!Q163</f>
        <v>0130276030</v>
      </c>
      <c r="H79" s="363" t="str">
        <f>+'11'!R163</f>
        <v>240</v>
      </c>
      <c r="I79" s="363">
        <f>+'11'!O163</f>
        <v>10</v>
      </c>
      <c r="J79" s="363">
        <f>+'11'!P163</f>
        <v>3</v>
      </c>
      <c r="K79" s="523"/>
      <c r="L79" s="524"/>
      <c r="M79" s="361"/>
      <c r="N79" s="362"/>
      <c r="O79" s="365">
        <f>+'11'!U163</f>
        <v>15.7</v>
      </c>
      <c r="P79" s="434">
        <f>+'11'!AG163</f>
        <v>8.32151</v>
      </c>
      <c r="Q79" s="436">
        <f t="shared" si="1"/>
        <v>53.003248407643312</v>
      </c>
    </row>
    <row r="80" spans="2:17" ht="13.5" thickBot="1" x14ac:dyDescent="0.25">
      <c r="B80" s="521" t="str">
        <f>+'11'!B164:M164</f>
        <v>Прочая закупка товаров, работ и услуг</v>
      </c>
      <c r="C80" s="521"/>
      <c r="D80" s="521"/>
      <c r="E80" s="521"/>
      <c r="F80" s="522"/>
      <c r="G80" s="366" t="str">
        <f>+'11'!Q164</f>
        <v>0130276030</v>
      </c>
      <c r="H80" s="363" t="str">
        <f>+'11'!R164</f>
        <v>244</v>
      </c>
      <c r="I80" s="363">
        <f>+'11'!O164</f>
        <v>10</v>
      </c>
      <c r="J80" s="363">
        <f>+'11'!P164</f>
        <v>3</v>
      </c>
      <c r="K80" s="523"/>
      <c r="L80" s="524"/>
      <c r="M80" s="361"/>
      <c r="N80" s="362"/>
      <c r="O80" s="365">
        <f>+'11'!U164</f>
        <v>15.7</v>
      </c>
      <c r="P80" s="434">
        <f>+'11'!AG164</f>
        <v>8.32151</v>
      </c>
      <c r="Q80" s="436">
        <f t="shared" si="1"/>
        <v>53.003248407643312</v>
      </c>
    </row>
    <row r="81" spans="2:17" ht="13.5" thickBot="1" x14ac:dyDescent="0.25">
      <c r="B81" s="521" t="str">
        <f>+'11'!B165:M165</f>
        <v>Социальное обеспечение и иные выплаты населению</v>
      </c>
      <c r="C81" s="521"/>
      <c r="D81" s="521"/>
      <c r="E81" s="521"/>
      <c r="F81" s="522"/>
      <c r="G81" s="366" t="str">
        <f>+'11'!Q165</f>
        <v>0130276030</v>
      </c>
      <c r="H81" s="363" t="str">
        <f>+'11'!R165</f>
        <v>300</v>
      </c>
      <c r="I81" s="363">
        <f>+'11'!O165</f>
        <v>10</v>
      </c>
      <c r="J81" s="363">
        <f>+'11'!P165</f>
        <v>3</v>
      </c>
      <c r="K81" s="523"/>
      <c r="L81" s="524"/>
      <c r="M81" s="361"/>
      <c r="N81" s="362"/>
      <c r="O81" s="365">
        <f>+'11'!U165</f>
        <v>3464.3</v>
      </c>
      <c r="P81" s="434">
        <f>+'11'!AG165</f>
        <v>541.67849000000001</v>
      </c>
      <c r="Q81" s="436">
        <f t="shared" si="1"/>
        <v>15.636015645296307</v>
      </c>
    </row>
    <row r="82" spans="2:17" ht="13.5" thickBot="1" x14ac:dyDescent="0.25">
      <c r="B82" s="521" t="str">
        <f>+'11'!B166:M166</f>
        <v>Социальные выплаты гражданам, кроме публичных нормативных социальных выплат</v>
      </c>
      <c r="C82" s="521"/>
      <c r="D82" s="521"/>
      <c r="E82" s="521"/>
      <c r="F82" s="522"/>
      <c r="G82" s="366" t="str">
        <f>+'11'!Q166</f>
        <v>0130276030</v>
      </c>
      <c r="H82" s="363" t="str">
        <f>+'11'!R166</f>
        <v>320</v>
      </c>
      <c r="I82" s="363">
        <f>+'11'!O166</f>
        <v>10</v>
      </c>
      <c r="J82" s="363">
        <f>+'11'!P166</f>
        <v>3</v>
      </c>
      <c r="K82" s="523"/>
      <c r="L82" s="524"/>
      <c r="M82" s="361"/>
      <c r="N82" s="362"/>
      <c r="O82" s="365">
        <f>+'11'!U166</f>
        <v>3464.3</v>
      </c>
      <c r="P82" s="434">
        <f>+'11'!AG166</f>
        <v>541.67849000000001</v>
      </c>
      <c r="Q82" s="436">
        <f t="shared" si="1"/>
        <v>15.636015645296307</v>
      </c>
    </row>
    <row r="83" spans="2:17" ht="13.5" thickBot="1" x14ac:dyDescent="0.25">
      <c r="B83" s="521" t="str">
        <f>+'11'!B167:M167</f>
        <v>Пособия, компенсации и иные социальные выплаты гражданам, кроме публичных нормативных обязательств</v>
      </c>
      <c r="C83" s="521"/>
      <c r="D83" s="521"/>
      <c r="E83" s="521"/>
      <c r="F83" s="522"/>
      <c r="G83" s="366" t="str">
        <f>+'11'!Q167</f>
        <v>0130276030</v>
      </c>
      <c r="H83" s="363" t="str">
        <f>+'11'!R167</f>
        <v>321</v>
      </c>
      <c r="I83" s="363">
        <f>+'11'!O167</f>
        <v>10</v>
      </c>
      <c r="J83" s="363">
        <f>+'11'!P167</f>
        <v>3</v>
      </c>
      <c r="K83" s="523"/>
      <c r="L83" s="524"/>
      <c r="M83" s="361"/>
      <c r="N83" s="362"/>
      <c r="O83" s="365">
        <f>+'11'!U167</f>
        <v>3464.3</v>
      </c>
      <c r="P83" s="434">
        <f>+'11'!AG167</f>
        <v>541.67849000000001</v>
      </c>
      <c r="Q83" s="436">
        <f t="shared" si="1"/>
        <v>15.636015645296307</v>
      </c>
    </row>
    <row r="84" spans="2:17" ht="13.5" thickBot="1" x14ac:dyDescent="0.25">
      <c r="B84" s="521" t="str">
        <f>+'11'!B168:M168</f>
        <v>Охрана семьи и детства</v>
      </c>
      <c r="C84" s="521"/>
      <c r="D84" s="521"/>
      <c r="E84" s="521"/>
      <c r="F84" s="522"/>
      <c r="G84" s="366">
        <f>+'11'!Q168</f>
        <v>0</v>
      </c>
      <c r="H84" s="363">
        <f>+'11'!R168</f>
        <v>0</v>
      </c>
      <c r="I84" s="363">
        <f>+'11'!O168</f>
        <v>10</v>
      </c>
      <c r="J84" s="363">
        <f>+'11'!P168</f>
        <v>4</v>
      </c>
      <c r="K84" s="523"/>
      <c r="L84" s="524"/>
      <c r="M84" s="361"/>
      <c r="N84" s="362"/>
      <c r="O84" s="365">
        <f>+'11'!U168</f>
        <v>32910.9</v>
      </c>
      <c r="P84" s="434">
        <f>+'11'!AG168</f>
        <v>7907.6746800000001</v>
      </c>
      <c r="Q84" s="436">
        <f t="shared" si="1"/>
        <v>24.027524862583522</v>
      </c>
    </row>
    <row r="85" spans="2:17" ht="13.5" thickBot="1" x14ac:dyDescent="0.25">
      <c r="B85" s="521" t="str">
        <f>+'11'!B169:M169</f>
        <v>Муниципальная программа "Социальная поддержка граждан в Овюрском кожууне"</v>
      </c>
      <c r="C85" s="521"/>
      <c r="D85" s="521"/>
      <c r="E85" s="521"/>
      <c r="F85" s="522"/>
      <c r="G85" s="366" t="str">
        <f>+'11'!Q169</f>
        <v>0100000000</v>
      </c>
      <c r="H85" s="363">
        <f>+'11'!R169</f>
        <v>0</v>
      </c>
      <c r="I85" s="363">
        <f>+'11'!O169</f>
        <v>10</v>
      </c>
      <c r="J85" s="363">
        <f>+'11'!P169</f>
        <v>4</v>
      </c>
      <c r="K85" s="523"/>
      <c r="L85" s="524"/>
      <c r="M85" s="361"/>
      <c r="N85" s="362"/>
      <c r="O85" s="365">
        <f>+'11'!U169</f>
        <v>0</v>
      </c>
      <c r="P85" s="434">
        <f>+'11'!AG169</f>
        <v>184.80426</v>
      </c>
      <c r="Q85" s="436">
        <v>0</v>
      </c>
    </row>
    <row r="86" spans="2:17" ht="13.5" thickBot="1" x14ac:dyDescent="0.25">
      <c r="B86" s="521" t="str">
        <f>+'11'!B170:M170</f>
        <v>подпрограмма "Социальная поддержка семьи и детей"</v>
      </c>
      <c r="C86" s="521"/>
      <c r="D86" s="521"/>
      <c r="E86" s="521"/>
      <c r="F86" s="522"/>
      <c r="G86" s="366" t="str">
        <f>+'11'!Q170</f>
        <v>0120000000</v>
      </c>
      <c r="H86" s="363">
        <f>+'11'!R170</f>
        <v>0</v>
      </c>
      <c r="I86" s="363">
        <f>+'11'!O170</f>
        <v>10</v>
      </c>
      <c r="J86" s="363">
        <f>+'11'!P170</f>
        <v>4</v>
      </c>
      <c r="K86" s="523"/>
      <c r="L86" s="524"/>
      <c r="M86" s="361"/>
      <c r="N86" s="362"/>
      <c r="O86" s="365">
        <f>+'11'!U170</f>
        <v>0</v>
      </c>
      <c r="P86" s="434">
        <f>+'11'!AG170</f>
        <v>184.80426</v>
      </c>
      <c r="Q86" s="436">
        <v>0</v>
      </c>
    </row>
    <row r="87" spans="2:17" ht="13.5" thickBot="1" x14ac:dyDescent="0.25">
      <c r="B87" s="521" t="str">
        <f>+'11'!B171:M171</f>
        <v>Субвенции бюджетам муниципальных районов на осуществление ежемесячной денежной выплаты, назначаемой в случае рождения третьего ребенка или последующих детей до достижения ребенком возраста трех лет</v>
      </c>
      <c r="C87" s="521"/>
      <c r="D87" s="521"/>
      <c r="E87" s="521"/>
      <c r="F87" s="522"/>
      <c r="G87" s="366" t="str">
        <f>+'11'!Q171</f>
        <v>012Р150840</v>
      </c>
      <c r="H87" s="363">
        <f>+'11'!R171</f>
        <v>0</v>
      </c>
      <c r="I87" s="363">
        <f>+'11'!O171</f>
        <v>10</v>
      </c>
      <c r="J87" s="363">
        <f>+'11'!P171</f>
        <v>4</v>
      </c>
      <c r="K87" s="523"/>
      <c r="L87" s="524"/>
      <c r="M87" s="361"/>
      <c r="N87" s="362"/>
      <c r="O87" s="365">
        <f>+'11'!U171</f>
        <v>0</v>
      </c>
      <c r="P87" s="434">
        <f>+'11'!AG171</f>
        <v>184.80426</v>
      </c>
      <c r="Q87" s="436">
        <v>0</v>
      </c>
    </row>
    <row r="88" spans="2:17" ht="13.5" thickBot="1" x14ac:dyDescent="0.25">
      <c r="B88" s="521" t="str">
        <f>+'11'!B172:M172</f>
        <v>Социальное обеспечение и иные выплаты населению</v>
      </c>
      <c r="C88" s="521"/>
      <c r="D88" s="521"/>
      <c r="E88" s="521"/>
      <c r="F88" s="522"/>
      <c r="G88" s="366" t="str">
        <f>+'11'!Q172</f>
        <v>012Р150840</v>
      </c>
      <c r="H88" s="363" t="str">
        <f>+'11'!R172</f>
        <v>300</v>
      </c>
      <c r="I88" s="363">
        <f>+'11'!O172</f>
        <v>10</v>
      </c>
      <c r="J88" s="363">
        <f>+'11'!P172</f>
        <v>4</v>
      </c>
      <c r="K88" s="523"/>
      <c r="L88" s="524"/>
      <c r="M88" s="361"/>
      <c r="N88" s="362"/>
      <c r="O88" s="365">
        <f>+'11'!U172</f>
        <v>0</v>
      </c>
      <c r="P88" s="434">
        <f>+'11'!AG172</f>
        <v>184.80426</v>
      </c>
      <c r="Q88" s="436">
        <v>0</v>
      </c>
    </row>
    <row r="89" spans="2:17" ht="13.5" thickBot="1" x14ac:dyDescent="0.25">
      <c r="B89" s="521" t="str">
        <f>+'11'!B173:M173</f>
        <v>Публичные нормативные социальные выплаты гражданам</v>
      </c>
      <c r="C89" s="521"/>
      <c r="D89" s="521"/>
      <c r="E89" s="521"/>
      <c r="F89" s="522"/>
      <c r="G89" s="366" t="str">
        <f>+'11'!Q173</f>
        <v>012Р150840</v>
      </c>
      <c r="H89" s="363" t="str">
        <f>+'11'!R173</f>
        <v>310</v>
      </c>
      <c r="I89" s="363">
        <f>+'11'!O173</f>
        <v>10</v>
      </c>
      <c r="J89" s="363">
        <f>+'11'!P173</f>
        <v>4</v>
      </c>
      <c r="K89" s="523"/>
      <c r="L89" s="524"/>
      <c r="M89" s="361"/>
      <c r="N89" s="362"/>
      <c r="O89" s="365">
        <f>+'11'!U173</f>
        <v>0</v>
      </c>
      <c r="P89" s="434">
        <f>+'11'!AG173</f>
        <v>184.80426</v>
      </c>
      <c r="Q89" s="436">
        <v>0</v>
      </c>
    </row>
    <row r="90" spans="2:17" ht="13.5" thickBot="1" x14ac:dyDescent="0.25">
      <c r="B90" s="521" t="str">
        <f>+'11'!B174:M174</f>
        <v>Пособия, компенсации, меры социальной поддержки по публичным нормативным обязательствам</v>
      </c>
      <c r="C90" s="521"/>
      <c r="D90" s="521"/>
      <c r="E90" s="521"/>
      <c r="F90" s="522"/>
      <c r="G90" s="366" t="str">
        <f>+'11'!Q174</f>
        <v>012Р150840</v>
      </c>
      <c r="H90" s="363" t="str">
        <f>+'11'!R174</f>
        <v>313</v>
      </c>
      <c r="I90" s="363">
        <f>+'11'!O174</f>
        <v>10</v>
      </c>
      <c r="J90" s="363">
        <f>+'11'!P174</f>
        <v>4</v>
      </c>
      <c r="K90" s="523"/>
      <c r="L90" s="524"/>
      <c r="M90" s="361"/>
      <c r="N90" s="362"/>
      <c r="O90" s="365">
        <f>+'11'!U174</f>
        <v>0</v>
      </c>
      <c r="P90" s="434">
        <f>+'11'!AG174</f>
        <v>184.80426</v>
      </c>
      <c r="Q90" s="436">
        <v>0</v>
      </c>
    </row>
    <row r="91" spans="2:17" ht="13.5" thickBot="1" x14ac:dyDescent="0.25">
      <c r="B91" s="521" t="str">
        <f>+'11'!B175:M175</f>
        <v>Субвенции на выплату государственных пособий лицам, не подлежащим обязательному социальному страхованию на случай временной нетрудоспособности и в связи с материнством, и лицам, уволенным в связи с ликвидацией организаций (прекращением деятельности, полномочий физическими лицами), в соответствии с Федеральным законом от 19 мая 1995 года № 81-ФЗ "О государственных пособиях гражданам, имеющим детей"</v>
      </c>
      <c r="C91" s="521"/>
      <c r="D91" s="521"/>
      <c r="E91" s="521"/>
      <c r="F91" s="522"/>
      <c r="G91" s="366" t="str">
        <f>+'11'!Q175</f>
        <v>0120253800</v>
      </c>
      <c r="H91" s="363">
        <f>+'11'!R175</f>
        <v>0</v>
      </c>
      <c r="I91" s="363">
        <f>+'11'!O175</f>
        <v>10</v>
      </c>
      <c r="J91" s="363">
        <f>+'11'!P175</f>
        <v>4</v>
      </c>
      <c r="K91" s="523"/>
      <c r="L91" s="524"/>
      <c r="M91" s="361"/>
      <c r="N91" s="362"/>
      <c r="O91" s="365">
        <f>+'11'!U175</f>
        <v>20252.8</v>
      </c>
      <c r="P91" s="434">
        <f>+'11'!AG175</f>
        <v>4531.9534199999998</v>
      </c>
      <c r="Q91" s="436">
        <f t="shared" ref="Q91:Q162" si="2">P91/O91*100</f>
        <v>22.376922795860327</v>
      </c>
    </row>
    <row r="92" spans="2:17" ht="13.5" thickBot="1" x14ac:dyDescent="0.25">
      <c r="B92" s="521" t="str">
        <f>+'11'!B176:M176</f>
        <v>Социальное обеспечение и иные выплаты населению</v>
      </c>
      <c r="C92" s="521"/>
      <c r="D92" s="521"/>
      <c r="E92" s="521"/>
      <c r="F92" s="522"/>
      <c r="G92" s="366" t="str">
        <f>+'11'!Q176</f>
        <v>0120253800</v>
      </c>
      <c r="H92" s="363" t="str">
        <f>+'11'!R176</f>
        <v>300</v>
      </c>
      <c r="I92" s="363">
        <f>+'11'!O176</f>
        <v>10</v>
      </c>
      <c r="J92" s="363">
        <f>+'11'!P176</f>
        <v>4</v>
      </c>
      <c r="K92" s="523"/>
      <c r="L92" s="524"/>
      <c r="M92" s="361"/>
      <c r="N92" s="362"/>
      <c r="O92" s="365">
        <f>+'11'!U176</f>
        <v>20252.8</v>
      </c>
      <c r="P92" s="434">
        <f>+'11'!AG176</f>
        <v>4531.9534199999998</v>
      </c>
      <c r="Q92" s="436">
        <f t="shared" si="2"/>
        <v>22.376922795860327</v>
      </c>
    </row>
    <row r="93" spans="2:17" ht="13.5" thickBot="1" x14ac:dyDescent="0.25">
      <c r="B93" s="521" t="str">
        <f>+'11'!B177:M177</f>
        <v>Публичные нормативные социальные выплаты гражданам</v>
      </c>
      <c r="C93" s="521"/>
      <c r="D93" s="521"/>
      <c r="E93" s="521"/>
      <c r="F93" s="522"/>
      <c r="G93" s="366" t="str">
        <f>+'11'!Q177</f>
        <v>0120253800</v>
      </c>
      <c r="H93" s="363" t="str">
        <f>+'11'!R177</f>
        <v>310</v>
      </c>
      <c r="I93" s="363">
        <f>+'11'!O177</f>
        <v>10</v>
      </c>
      <c r="J93" s="363">
        <f>+'11'!P177</f>
        <v>4</v>
      </c>
      <c r="K93" s="523"/>
      <c r="L93" s="524"/>
      <c r="M93" s="361"/>
      <c r="N93" s="362"/>
      <c r="O93" s="365">
        <f>+'11'!U177</f>
        <v>20252.8</v>
      </c>
      <c r="P93" s="434">
        <f>+'11'!AG177</f>
        <v>4531.9534199999998</v>
      </c>
      <c r="Q93" s="436">
        <f t="shared" si="2"/>
        <v>22.376922795860327</v>
      </c>
    </row>
    <row r="94" spans="2:17" ht="13.5" thickBot="1" x14ac:dyDescent="0.25">
      <c r="B94" s="521" t="str">
        <f>+'11'!B178:M178</f>
        <v>Пособия, компенсации, меры социальной поддержки по публичным нормативным обязательствам</v>
      </c>
      <c r="C94" s="521"/>
      <c r="D94" s="521"/>
      <c r="E94" s="521"/>
      <c r="F94" s="522"/>
      <c r="G94" s="366" t="str">
        <f>+'11'!Q178</f>
        <v>0120253800</v>
      </c>
      <c r="H94" s="363" t="str">
        <f>+'11'!R178</f>
        <v>313</v>
      </c>
      <c r="I94" s="363">
        <f>+'11'!O178</f>
        <v>10</v>
      </c>
      <c r="J94" s="363">
        <f>+'11'!P178</f>
        <v>4</v>
      </c>
      <c r="K94" s="523"/>
      <c r="L94" s="524"/>
      <c r="M94" s="361"/>
      <c r="N94" s="362"/>
      <c r="O94" s="365">
        <f>+'11'!U178</f>
        <v>20252.8</v>
      </c>
      <c r="P94" s="434">
        <f>+'11'!AG178</f>
        <v>4531.9534199999998</v>
      </c>
      <c r="Q94" s="436">
        <f t="shared" si="2"/>
        <v>22.376922795860327</v>
      </c>
    </row>
    <row r="95" spans="2:17" ht="13.5" thickBot="1" x14ac:dyDescent="0.25">
      <c r="B95" s="521" t="str">
        <f>+'11'!B179:M179</f>
        <v>Муниципальная программа "Социальная поддержка граждан в Овюрском кожууне"</v>
      </c>
      <c r="C95" s="521"/>
      <c r="D95" s="521"/>
      <c r="E95" s="521"/>
      <c r="F95" s="522"/>
      <c r="G95" s="366" t="str">
        <f>+'11'!Q179</f>
        <v>0100000000</v>
      </c>
      <c r="H95" s="363">
        <f>+'11'!R179</f>
        <v>0</v>
      </c>
      <c r="I95" s="363">
        <f>+'11'!O179</f>
        <v>10</v>
      </c>
      <c r="J95" s="363">
        <f>+'11'!P179</f>
        <v>4</v>
      </c>
      <c r="K95" s="523"/>
      <c r="L95" s="524"/>
      <c r="M95" s="361"/>
      <c r="N95" s="362"/>
      <c r="O95" s="365">
        <f>+'11'!U179</f>
        <v>12658.1</v>
      </c>
      <c r="P95" s="434">
        <f>+'11'!AG179</f>
        <v>3190.9169999999999</v>
      </c>
      <c r="Q95" s="436">
        <f t="shared" si="2"/>
        <v>25.208498905838951</v>
      </c>
    </row>
    <row r="96" spans="2:17" ht="13.5" thickBot="1" x14ac:dyDescent="0.25">
      <c r="B96" s="521" t="str">
        <f>+'11'!B180:M180</f>
        <v>подпрограмма "Социальная поддержка семьи и детей"</v>
      </c>
      <c r="C96" s="521"/>
      <c r="D96" s="521"/>
      <c r="E96" s="521"/>
      <c r="F96" s="522"/>
      <c r="G96" s="366" t="str">
        <f>+'11'!Q180</f>
        <v>0120000000</v>
      </c>
      <c r="H96" s="363">
        <f>+'11'!R180</f>
        <v>0</v>
      </c>
      <c r="I96" s="363">
        <f>+'11'!O180</f>
        <v>10</v>
      </c>
      <c r="J96" s="363">
        <f>+'11'!P180</f>
        <v>4</v>
      </c>
      <c r="K96" s="523"/>
      <c r="L96" s="524"/>
      <c r="M96" s="361"/>
      <c r="N96" s="362"/>
      <c r="O96" s="365">
        <f>+'11'!U180</f>
        <v>12658.1</v>
      </c>
      <c r="P96" s="434">
        <f>+'11'!AG180</f>
        <v>3190.9169999999999</v>
      </c>
      <c r="Q96" s="436">
        <f t="shared" si="2"/>
        <v>25.208498905838951</v>
      </c>
    </row>
    <row r="97" spans="2:17" ht="13.5" thickBot="1" x14ac:dyDescent="0.25">
      <c r="B97" s="521" t="str">
        <f>+'11'!B181:M181</f>
        <v>Осуществление ежемесячной выплаты в связи с рождением (усыновлением) первого ребенка</v>
      </c>
      <c r="C97" s="521"/>
      <c r="D97" s="521"/>
      <c r="E97" s="521"/>
      <c r="F97" s="522"/>
      <c r="G97" s="366" t="str">
        <f>+'11'!Q181</f>
        <v>012P155730</v>
      </c>
      <c r="H97" s="363">
        <f>+'11'!R181</f>
        <v>0</v>
      </c>
      <c r="I97" s="363">
        <f>+'11'!O181</f>
        <v>10</v>
      </c>
      <c r="J97" s="363">
        <f>+'11'!P181</f>
        <v>4</v>
      </c>
      <c r="K97" s="523"/>
      <c r="L97" s="524"/>
      <c r="M97" s="361"/>
      <c r="N97" s="362"/>
      <c r="O97" s="365">
        <f>+'11'!U181</f>
        <v>12658.1</v>
      </c>
      <c r="P97" s="434">
        <f>+'11'!AG181</f>
        <v>3190.9169999999999</v>
      </c>
      <c r="Q97" s="436">
        <f t="shared" si="2"/>
        <v>25.208498905838951</v>
      </c>
    </row>
    <row r="98" spans="2:17" ht="13.5" thickBot="1" x14ac:dyDescent="0.25">
      <c r="B98" s="521" t="str">
        <f>+'11'!B182:M182</f>
        <v>Социальное обеспечение и иные выплаты населению</v>
      </c>
      <c r="C98" s="521"/>
      <c r="D98" s="521"/>
      <c r="E98" s="521"/>
      <c r="F98" s="522"/>
      <c r="G98" s="366" t="str">
        <f>+'11'!Q182</f>
        <v>012P155730</v>
      </c>
      <c r="H98" s="363" t="str">
        <f>+'11'!R182</f>
        <v>300</v>
      </c>
      <c r="I98" s="363">
        <f>+'11'!O182</f>
        <v>10</v>
      </c>
      <c r="J98" s="363">
        <f>+'11'!P182</f>
        <v>4</v>
      </c>
      <c r="K98" s="523"/>
      <c r="L98" s="524"/>
      <c r="M98" s="361"/>
      <c r="N98" s="362"/>
      <c r="O98" s="365">
        <f>+'11'!U182</f>
        <v>12658.1</v>
      </c>
      <c r="P98" s="434">
        <f>+'11'!AG182</f>
        <v>3190.9169999999999</v>
      </c>
      <c r="Q98" s="436">
        <f t="shared" si="2"/>
        <v>25.208498905838951</v>
      </c>
    </row>
    <row r="99" spans="2:17" ht="13.5" thickBot="1" x14ac:dyDescent="0.25">
      <c r="B99" s="521" t="str">
        <f>+'11'!B183:M183</f>
        <v>Публичные нормативные социальные выплаты гражданам</v>
      </c>
      <c r="C99" s="521"/>
      <c r="D99" s="521"/>
      <c r="E99" s="521"/>
      <c r="F99" s="522"/>
      <c r="G99" s="366" t="str">
        <f>+'11'!Q183</f>
        <v>012P155730</v>
      </c>
      <c r="H99" s="363" t="str">
        <f>+'11'!R183</f>
        <v>310</v>
      </c>
      <c r="I99" s="363">
        <f>+'11'!O183</f>
        <v>10</v>
      </c>
      <c r="J99" s="363">
        <f>+'11'!P183</f>
        <v>4</v>
      </c>
      <c r="K99" s="523"/>
      <c r="L99" s="524"/>
      <c r="M99" s="361"/>
      <c r="N99" s="362"/>
      <c r="O99" s="365">
        <f>+'11'!U183</f>
        <v>12658.1</v>
      </c>
      <c r="P99" s="434">
        <f>+'11'!AG183</f>
        <v>3190.9169999999999</v>
      </c>
      <c r="Q99" s="436">
        <f t="shared" si="2"/>
        <v>25.208498905838951</v>
      </c>
    </row>
    <row r="100" spans="2:17" ht="13.5" thickBot="1" x14ac:dyDescent="0.25">
      <c r="B100" s="521" t="str">
        <f>+'11'!B184:M184</f>
        <v>Пособия, компенсации, меры социальной поддержки по публичным нормативным обязательствам</v>
      </c>
      <c r="C100" s="521"/>
      <c r="D100" s="521"/>
      <c r="E100" s="521"/>
      <c r="F100" s="522"/>
      <c r="G100" s="366" t="str">
        <f>+'11'!Q184</f>
        <v>012P155730</v>
      </c>
      <c r="H100" s="363" t="str">
        <f>+'11'!R184</f>
        <v>313</v>
      </c>
      <c r="I100" s="363">
        <f>+'11'!O184</f>
        <v>10</v>
      </c>
      <c r="J100" s="363">
        <f>+'11'!P184</f>
        <v>4</v>
      </c>
      <c r="K100" s="523"/>
      <c r="L100" s="524"/>
      <c r="M100" s="361"/>
      <c r="N100" s="362"/>
      <c r="O100" s="365">
        <f>+'11'!U184</f>
        <v>12658.1</v>
      </c>
      <c r="P100" s="434">
        <f>+'11'!AG184</f>
        <v>3190.9169999999999</v>
      </c>
      <c r="Q100" s="436">
        <f t="shared" si="2"/>
        <v>25.208498905838951</v>
      </c>
    </row>
    <row r="101" spans="2:17" ht="13.5" thickBot="1" x14ac:dyDescent="0.25">
      <c r="B101" s="521" t="str">
        <f>+'11'!B185:M185</f>
        <v>Другие вопросы в области социальной политики</v>
      </c>
      <c r="C101" s="521"/>
      <c r="D101" s="521"/>
      <c r="E101" s="521"/>
      <c r="F101" s="522"/>
      <c r="G101" s="366">
        <f>+'11'!Q185</f>
        <v>0</v>
      </c>
      <c r="H101" s="363">
        <f>+'11'!R185</f>
        <v>0</v>
      </c>
      <c r="I101" s="363">
        <f>+'11'!O185</f>
        <v>10</v>
      </c>
      <c r="J101" s="363">
        <f>+'11'!P185</f>
        <v>6</v>
      </c>
      <c r="K101" s="523"/>
      <c r="L101" s="524"/>
      <c r="M101" s="361"/>
      <c r="N101" s="362"/>
      <c r="O101" s="365">
        <f>+'11'!U185</f>
        <v>4072.4839999999999</v>
      </c>
      <c r="P101" s="434">
        <f>+'11'!AG185</f>
        <v>862.2517499999999</v>
      </c>
      <c r="Q101" s="436">
        <f t="shared" si="2"/>
        <v>21.172624619274131</v>
      </c>
    </row>
    <row r="102" spans="2:17" ht="13.5" thickBot="1" x14ac:dyDescent="0.25">
      <c r="B102" s="521" t="str">
        <f>+'11'!B186:M186</f>
        <v>Муниципальная программа "Социальная поддержка граждан в Овюрском кожууне"</v>
      </c>
      <c r="C102" s="521"/>
      <c r="D102" s="521"/>
      <c r="E102" s="521"/>
      <c r="F102" s="522"/>
      <c r="G102" s="366" t="str">
        <f>+'11'!Q186</f>
        <v>0100000000</v>
      </c>
      <c r="H102" s="363">
        <f>+'11'!R186</f>
        <v>0</v>
      </c>
      <c r="I102" s="363">
        <f>+'11'!O186</f>
        <v>10</v>
      </c>
      <c r="J102" s="363">
        <f>+'11'!P186</f>
        <v>6</v>
      </c>
      <c r="K102" s="523"/>
      <c r="L102" s="524"/>
      <c r="M102" s="361"/>
      <c r="N102" s="362"/>
      <c r="O102" s="365">
        <f>+'11'!U186</f>
        <v>3641.2840000000001</v>
      </c>
      <c r="P102" s="434">
        <f>+'11'!AG186</f>
        <v>767.55328999999995</v>
      </c>
      <c r="Q102" s="436">
        <f t="shared" si="2"/>
        <v>21.079193218655835</v>
      </c>
    </row>
    <row r="103" spans="2:17" ht="13.5" thickBot="1" x14ac:dyDescent="0.25">
      <c r="B103" s="521" t="str">
        <f>+'11'!B187:M187</f>
        <v>Подпрограмма "Обеспечение реализации муниципальной программы и прочие мероприятия"</v>
      </c>
      <c r="C103" s="521"/>
      <c r="D103" s="521"/>
      <c r="E103" s="521"/>
      <c r="F103" s="522"/>
      <c r="G103" s="366" t="str">
        <f>+'11'!Q187</f>
        <v>0140000000</v>
      </c>
      <c r="H103" s="363">
        <f>+'11'!R187</f>
        <v>0</v>
      </c>
      <c r="I103" s="363">
        <f>+'11'!O187</f>
        <v>10</v>
      </c>
      <c r="J103" s="363">
        <f>+'11'!P187</f>
        <v>6</v>
      </c>
      <c r="K103" s="523"/>
      <c r="L103" s="524"/>
      <c r="M103" s="361"/>
      <c r="N103" s="362"/>
      <c r="O103" s="365">
        <f>+'11'!U187</f>
        <v>3641.2840000000001</v>
      </c>
      <c r="P103" s="434">
        <f>+'11'!AG187</f>
        <v>767.55328999999995</v>
      </c>
      <c r="Q103" s="436">
        <f t="shared" si="2"/>
        <v>21.079193218655835</v>
      </c>
    </row>
    <row r="104" spans="2:17" ht="13.5" thickBot="1" x14ac:dyDescent="0.25">
      <c r="B104" s="521" t="str">
        <f>+'11'!B188:M188</f>
        <v>Обеспечение деятельности органов местного самоуправления</v>
      </c>
      <c r="C104" s="521"/>
      <c r="D104" s="521"/>
      <c r="E104" s="521"/>
      <c r="F104" s="522"/>
      <c r="G104" s="366" t="str">
        <f>+'11'!Q188</f>
        <v>0140100019</v>
      </c>
      <c r="H104" s="363">
        <f>+'11'!R188</f>
        <v>0</v>
      </c>
      <c r="I104" s="363">
        <f>+'11'!O188</f>
        <v>10</v>
      </c>
      <c r="J104" s="363">
        <f>+'11'!P188</f>
        <v>6</v>
      </c>
      <c r="K104" s="523"/>
      <c r="L104" s="524"/>
      <c r="M104" s="361"/>
      <c r="N104" s="362"/>
      <c r="O104" s="365">
        <f>+'11'!U188</f>
        <v>3641.2840000000001</v>
      </c>
      <c r="P104" s="434">
        <f>+'11'!AG188</f>
        <v>767.55328999999995</v>
      </c>
      <c r="Q104" s="436">
        <f t="shared" si="2"/>
        <v>21.079193218655835</v>
      </c>
    </row>
    <row r="105" spans="2:17" ht="13.5" thickBot="1" x14ac:dyDescent="0.25">
      <c r="B105" s="521" t="str">
        <f>+'11'!B189:M189</f>
        <v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v>
      </c>
      <c r="C105" s="521"/>
      <c r="D105" s="521"/>
      <c r="E105" s="521"/>
      <c r="F105" s="522"/>
      <c r="G105" s="366" t="str">
        <f>+'11'!Q189</f>
        <v>0140100019</v>
      </c>
      <c r="H105" s="363" t="str">
        <f>+'11'!R189</f>
        <v>100</v>
      </c>
      <c r="I105" s="363">
        <f>+'11'!O189</f>
        <v>10</v>
      </c>
      <c r="J105" s="363">
        <f>+'11'!P189</f>
        <v>6</v>
      </c>
      <c r="K105" s="523"/>
      <c r="L105" s="524"/>
      <c r="M105" s="361"/>
      <c r="N105" s="362"/>
      <c r="O105" s="365">
        <f>+'11'!U189</f>
        <v>3397.4769999999999</v>
      </c>
      <c r="P105" s="434">
        <f>+'11'!AG189</f>
        <v>732.65519999999992</v>
      </c>
      <c r="Q105" s="436">
        <f t="shared" si="2"/>
        <v>21.564684617438175</v>
      </c>
    </row>
    <row r="106" spans="2:17" ht="13.5" thickBot="1" x14ac:dyDescent="0.25">
      <c r="B106" s="521" t="str">
        <f>+'11'!B190:M190</f>
        <v>Расходы на выплаты персоналу государственных (муниципальных) органов</v>
      </c>
      <c r="C106" s="521"/>
      <c r="D106" s="521"/>
      <c r="E106" s="521"/>
      <c r="F106" s="522"/>
      <c r="G106" s="366" t="str">
        <f>+'11'!Q190</f>
        <v>0140100019</v>
      </c>
      <c r="H106" s="363" t="str">
        <f>+'11'!R190</f>
        <v>120</v>
      </c>
      <c r="I106" s="363">
        <f>+'11'!O190</f>
        <v>10</v>
      </c>
      <c r="J106" s="363">
        <f>+'11'!P190</f>
        <v>6</v>
      </c>
      <c r="K106" s="523"/>
      <c r="L106" s="524"/>
      <c r="M106" s="361"/>
      <c r="N106" s="362"/>
      <c r="O106" s="365">
        <f>+'11'!U190</f>
        <v>3397.4769999999999</v>
      </c>
      <c r="P106" s="434">
        <f>+'11'!AG190</f>
        <v>732.65519999999992</v>
      </c>
      <c r="Q106" s="436">
        <f t="shared" si="2"/>
        <v>21.564684617438175</v>
      </c>
    </row>
    <row r="107" spans="2:17" ht="13.5" thickBot="1" x14ac:dyDescent="0.25">
      <c r="B107" s="521" t="str">
        <f>+'11'!B191:M191</f>
        <v>Фонд оплаты труда государственных (муниципальных) органов</v>
      </c>
      <c r="C107" s="521"/>
      <c r="D107" s="521"/>
      <c r="E107" s="521"/>
      <c r="F107" s="522"/>
      <c r="G107" s="366" t="str">
        <f>+'11'!Q191</f>
        <v>0140100019</v>
      </c>
      <c r="H107" s="363" t="str">
        <f>+'11'!R191</f>
        <v>121</v>
      </c>
      <c r="I107" s="363">
        <f>+'11'!O191</f>
        <v>10</v>
      </c>
      <c r="J107" s="363">
        <f>+'11'!P191</f>
        <v>6</v>
      </c>
      <c r="K107" s="523"/>
      <c r="L107" s="524"/>
      <c r="M107" s="361"/>
      <c r="N107" s="362"/>
      <c r="O107" s="365">
        <f>+'11'!U191</f>
        <v>2609.4290000000001</v>
      </c>
      <c r="P107" s="434">
        <f>+'11'!AG191</f>
        <v>562.71520999999996</v>
      </c>
      <c r="Q107" s="436">
        <f t="shared" si="2"/>
        <v>21.564687523592323</v>
      </c>
    </row>
    <row r="108" spans="2:17" ht="13.5" thickBot="1" x14ac:dyDescent="0.25">
      <c r="B108" s="521" t="str">
        <f>+'11'!B192:M192</f>
        <v>Взносы по обязательному социальному страхованию на выплаты денежного содержания и иные выплаты работникам государственных (муниципальных) органов</v>
      </c>
      <c r="C108" s="521"/>
      <c r="D108" s="521"/>
      <c r="E108" s="521"/>
      <c r="F108" s="522"/>
      <c r="G108" s="366" t="str">
        <f>+'11'!Q192</f>
        <v>0140100019</v>
      </c>
      <c r="H108" s="363" t="str">
        <f>+'11'!R192</f>
        <v>129</v>
      </c>
      <c r="I108" s="363">
        <f>+'11'!O192</f>
        <v>10</v>
      </c>
      <c r="J108" s="363">
        <f>+'11'!P192</f>
        <v>6</v>
      </c>
      <c r="K108" s="523"/>
      <c r="L108" s="524"/>
      <c r="M108" s="361"/>
      <c r="N108" s="362"/>
      <c r="O108" s="365">
        <f>+'11'!U192</f>
        <v>788.048</v>
      </c>
      <c r="P108" s="434">
        <f>+'11'!AG192</f>
        <v>169.93998999999999</v>
      </c>
      <c r="Q108" s="436">
        <f t="shared" si="2"/>
        <v>21.564674994416581</v>
      </c>
    </row>
    <row r="109" spans="2:17" ht="13.5" thickBot="1" x14ac:dyDescent="0.25">
      <c r="B109" s="521" t="str">
        <f>+'11'!B193:M193</f>
        <v>Закупка товаров, работ и услуг для обеспечения государственных (муниципальных) нужд</v>
      </c>
      <c r="C109" s="521"/>
      <c r="D109" s="521"/>
      <c r="E109" s="521"/>
      <c r="F109" s="522"/>
      <c r="G109" s="366" t="str">
        <f>+'11'!Q193</f>
        <v>0140100019</v>
      </c>
      <c r="H109" s="363" t="str">
        <f>+'11'!R193</f>
        <v>200</v>
      </c>
      <c r="I109" s="363">
        <f>+'11'!O193</f>
        <v>10</v>
      </c>
      <c r="J109" s="363">
        <f>+'11'!P193</f>
        <v>6</v>
      </c>
      <c r="K109" s="523"/>
      <c r="L109" s="524"/>
      <c r="M109" s="361"/>
      <c r="N109" s="362"/>
      <c r="O109" s="365">
        <f>+'11'!U193</f>
        <v>243.80699999999999</v>
      </c>
      <c r="P109" s="434">
        <f>+'11'!AG193</f>
        <v>34.898089999999996</v>
      </c>
      <c r="Q109" s="436">
        <f t="shared" si="2"/>
        <v>14.313817896943073</v>
      </c>
    </row>
    <row r="110" spans="2:17" ht="13.5" thickBot="1" x14ac:dyDescent="0.25">
      <c r="B110" s="521" t="str">
        <f>+'11'!B194:M194</f>
        <v>Иные закупки товаров, работ и услуг для обеспечения государственных (муниципальных) нужд</v>
      </c>
      <c r="C110" s="521"/>
      <c r="D110" s="521"/>
      <c r="E110" s="521"/>
      <c r="F110" s="522"/>
      <c r="G110" s="366" t="str">
        <f>+'11'!Q194</f>
        <v>0140100019</v>
      </c>
      <c r="H110" s="363" t="str">
        <f>+'11'!R194</f>
        <v>240</v>
      </c>
      <c r="I110" s="363">
        <f>+'11'!O194</f>
        <v>10</v>
      </c>
      <c r="J110" s="363">
        <f>+'11'!P194</f>
        <v>6</v>
      </c>
      <c r="K110" s="523"/>
      <c r="L110" s="524"/>
      <c r="M110" s="361"/>
      <c r="N110" s="362"/>
      <c r="O110" s="365">
        <f>+'11'!U194</f>
        <v>243.80699999999999</v>
      </c>
      <c r="P110" s="434">
        <f>+'11'!AG194</f>
        <v>34.898089999999996</v>
      </c>
      <c r="Q110" s="436">
        <f t="shared" si="2"/>
        <v>14.313817896943073</v>
      </c>
    </row>
    <row r="111" spans="2:17" ht="13.5" thickBot="1" x14ac:dyDescent="0.25">
      <c r="B111" s="521" t="str">
        <f>+'11'!B195:M195</f>
        <v>Закупка товаров, работ, услуг в сфере информационно-коммуникационных технологий</v>
      </c>
      <c r="C111" s="521"/>
      <c r="D111" s="521"/>
      <c r="E111" s="521"/>
      <c r="F111" s="522"/>
      <c r="G111" s="366" t="str">
        <f>+'11'!Q195</f>
        <v>0140100019</v>
      </c>
      <c r="H111" s="363" t="str">
        <f>+'11'!R195</f>
        <v>242</v>
      </c>
      <c r="I111" s="363">
        <f>+'11'!O195</f>
        <v>10</v>
      </c>
      <c r="J111" s="363">
        <f>+'11'!P195</f>
        <v>6</v>
      </c>
      <c r="K111" s="523"/>
      <c r="L111" s="524"/>
      <c r="M111" s="361"/>
      <c r="N111" s="362"/>
      <c r="O111" s="365">
        <f>+'11'!U195</f>
        <v>138.80699999999999</v>
      </c>
      <c r="P111" s="434">
        <f>+'11'!AG195</f>
        <v>19.39809</v>
      </c>
      <c r="Q111" s="436">
        <f t="shared" si="2"/>
        <v>13.97486438003847</v>
      </c>
    </row>
    <row r="112" spans="2:17" ht="13.5" thickBot="1" x14ac:dyDescent="0.25">
      <c r="B112" s="521" t="str">
        <f>+'11'!B196:M196</f>
        <v>Прочая закупка товаров, работ и услуг</v>
      </c>
      <c r="C112" s="521"/>
      <c r="D112" s="521"/>
      <c r="E112" s="521"/>
      <c r="F112" s="522"/>
      <c r="G112" s="366" t="str">
        <f>+'11'!Q196</f>
        <v>0140100019</v>
      </c>
      <c r="H112" s="363" t="str">
        <f>+'11'!R196</f>
        <v>244</v>
      </c>
      <c r="I112" s="363">
        <f>+'11'!O196</f>
        <v>10</v>
      </c>
      <c r="J112" s="363">
        <f>+'11'!P196</f>
        <v>6</v>
      </c>
      <c r="K112" s="523"/>
      <c r="L112" s="524"/>
      <c r="M112" s="361"/>
      <c r="N112" s="362"/>
      <c r="O112" s="365">
        <f>+'11'!U196</f>
        <v>105</v>
      </c>
      <c r="P112" s="434">
        <f>+'11'!AG196</f>
        <v>15.5</v>
      </c>
      <c r="Q112" s="436">
        <f t="shared" si="2"/>
        <v>14.761904761904763</v>
      </c>
    </row>
    <row r="113" spans="2:17" ht="13.5" thickBot="1" x14ac:dyDescent="0.25">
      <c r="B113" s="521" t="str">
        <f>+'11'!B197:M197</f>
        <v>Муниципальная программа "Социальная поддержка граждан в Овюрском кожууне"</v>
      </c>
      <c r="C113" s="521"/>
      <c r="D113" s="521"/>
      <c r="E113" s="521"/>
      <c r="F113" s="522"/>
      <c r="G113" s="366" t="str">
        <f>+'11'!Q197</f>
        <v>0100000000</v>
      </c>
      <c r="H113" s="363">
        <f>+'11'!R197</f>
        <v>0</v>
      </c>
      <c r="I113" s="363">
        <f>+'11'!O197</f>
        <v>10</v>
      </c>
      <c r="J113" s="363">
        <f>+'11'!P197</f>
        <v>6</v>
      </c>
      <c r="K113" s="523"/>
      <c r="L113" s="524"/>
      <c r="M113" s="361"/>
      <c r="N113" s="362"/>
      <c r="O113" s="365">
        <f>+'11'!U197</f>
        <v>431.2</v>
      </c>
      <c r="P113" s="434">
        <f>+'11'!AG197</f>
        <v>94.698459999999997</v>
      </c>
      <c r="Q113" s="436">
        <f t="shared" si="2"/>
        <v>21.961609461966606</v>
      </c>
    </row>
    <row r="114" spans="2:17" ht="13.5" thickBot="1" x14ac:dyDescent="0.25">
      <c r="B114" s="521" t="str">
        <f>+'11'!B198:M198</f>
        <v>Подпрограмма "Обеспечение реализации муниципальной программы и прочие мероприятия"</v>
      </c>
      <c r="C114" s="521"/>
      <c r="D114" s="521"/>
      <c r="E114" s="521"/>
      <c r="F114" s="522"/>
      <c r="G114" s="366" t="str">
        <f>+'11'!Q198</f>
        <v>0140000000</v>
      </c>
      <c r="H114" s="363">
        <f>+'11'!R198</f>
        <v>0</v>
      </c>
      <c r="I114" s="363">
        <f>+'11'!O198</f>
        <v>10</v>
      </c>
      <c r="J114" s="363">
        <f>+'11'!P198</f>
        <v>6</v>
      </c>
      <c r="K114" s="523"/>
      <c r="L114" s="524"/>
      <c r="M114" s="361"/>
      <c r="N114" s="362"/>
      <c r="O114" s="365">
        <f>+'11'!U198</f>
        <v>431.2</v>
      </c>
      <c r="P114" s="434">
        <f>+'11'!AG198</f>
        <v>94.698459999999997</v>
      </c>
      <c r="Q114" s="436">
        <f t="shared" si="2"/>
        <v>21.961609461966606</v>
      </c>
    </row>
    <row r="115" spans="2:17" ht="13.5" thickBot="1" x14ac:dyDescent="0.25">
      <c r="B115" s="521" t="str">
        <f>+'11'!B199:M199</f>
        <v>Выполнение передаваемых государственных полномочий в соответствии с действующим законодательством по расчету предоставления жилищных субсидий гражданам</v>
      </c>
      <c r="C115" s="521"/>
      <c r="D115" s="521"/>
      <c r="E115" s="521"/>
      <c r="F115" s="522"/>
      <c r="G115" s="366" t="str">
        <f>+'11'!Q199</f>
        <v>0140276040</v>
      </c>
      <c r="H115" s="363">
        <f>+'11'!R199</f>
        <v>0</v>
      </c>
      <c r="I115" s="363">
        <f>+'11'!O199</f>
        <v>10</v>
      </c>
      <c r="J115" s="363">
        <f>+'11'!P199</f>
        <v>6</v>
      </c>
      <c r="K115" s="523"/>
      <c r="L115" s="524"/>
      <c r="M115" s="361"/>
      <c r="N115" s="362"/>
      <c r="O115" s="365">
        <f>+'11'!U199</f>
        <v>431.2</v>
      </c>
      <c r="P115" s="434">
        <f>+'11'!AG199</f>
        <v>94.698459999999997</v>
      </c>
      <c r="Q115" s="436">
        <f t="shared" si="2"/>
        <v>21.961609461966606</v>
      </c>
    </row>
    <row r="116" spans="2:17" ht="13.5" thickBot="1" x14ac:dyDescent="0.25">
      <c r="B116" s="521" t="str">
        <f>+'11'!B200:M200</f>
        <v>Закупка товаров, работ и услуг для обеспечения государственных (муниципальных) нужд</v>
      </c>
      <c r="C116" s="521"/>
      <c r="D116" s="521"/>
      <c r="E116" s="521"/>
      <c r="F116" s="522"/>
      <c r="G116" s="366" t="str">
        <f>+'11'!Q200</f>
        <v>0140276040</v>
      </c>
      <c r="H116" s="363" t="str">
        <f>+'11'!R200</f>
        <v>200</v>
      </c>
      <c r="I116" s="363">
        <f>+'11'!O200</f>
        <v>10</v>
      </c>
      <c r="J116" s="363">
        <f>+'11'!P200</f>
        <v>6</v>
      </c>
      <c r="K116" s="523"/>
      <c r="L116" s="524"/>
      <c r="M116" s="361"/>
      <c r="N116" s="362"/>
      <c r="O116" s="365">
        <f>+'11'!U200</f>
        <v>431.2</v>
      </c>
      <c r="P116" s="434">
        <f>+'11'!AG200</f>
        <v>94.698459999999997</v>
      </c>
      <c r="Q116" s="436">
        <f t="shared" si="2"/>
        <v>21.961609461966606</v>
      </c>
    </row>
    <row r="117" spans="2:17" ht="13.5" thickBot="1" x14ac:dyDescent="0.25">
      <c r="B117" s="521" t="str">
        <f>+'11'!B201:M201</f>
        <v>Иные закупки товаров, работ и услуг для обеспечения государственных (муниципальных) нужд</v>
      </c>
      <c r="C117" s="521"/>
      <c r="D117" s="521"/>
      <c r="E117" s="521"/>
      <c r="F117" s="522"/>
      <c r="G117" s="366" t="str">
        <f>+'11'!Q201</f>
        <v>0140276040</v>
      </c>
      <c r="H117" s="363" t="str">
        <f>+'11'!R201</f>
        <v>240</v>
      </c>
      <c r="I117" s="363">
        <f>+'11'!O201</f>
        <v>10</v>
      </c>
      <c r="J117" s="363">
        <f>+'11'!P201</f>
        <v>6</v>
      </c>
      <c r="K117" s="523"/>
      <c r="L117" s="524"/>
      <c r="M117" s="361"/>
      <c r="N117" s="362"/>
      <c r="O117" s="365">
        <f>+'11'!U201</f>
        <v>431.2</v>
      </c>
      <c r="P117" s="434">
        <f>+'11'!AG201</f>
        <v>94.698459999999997</v>
      </c>
      <c r="Q117" s="436">
        <f t="shared" si="2"/>
        <v>21.961609461966606</v>
      </c>
    </row>
    <row r="118" spans="2:17" ht="13.5" thickBot="1" x14ac:dyDescent="0.25">
      <c r="B118" s="521" t="str">
        <f>+'11'!B202:M202</f>
        <v>Закупка товаров, работ, услуг в сфере информационно-коммуникационных технологий</v>
      </c>
      <c r="C118" s="521"/>
      <c r="D118" s="521"/>
      <c r="E118" s="521"/>
      <c r="F118" s="522"/>
      <c r="G118" s="366" t="str">
        <f>+'11'!Q202</f>
        <v>0140276040</v>
      </c>
      <c r="H118" s="363" t="str">
        <f>+'11'!R202</f>
        <v>242</v>
      </c>
      <c r="I118" s="363">
        <f>+'11'!O202</f>
        <v>10</v>
      </c>
      <c r="J118" s="363">
        <f>+'11'!P202</f>
        <v>6</v>
      </c>
      <c r="K118" s="523"/>
      <c r="L118" s="524"/>
      <c r="M118" s="361"/>
      <c r="N118" s="362"/>
      <c r="O118" s="365">
        <f>+'11'!U202</f>
        <v>12.3</v>
      </c>
      <c r="P118" s="434">
        <f>+'11'!AG202</f>
        <v>0</v>
      </c>
      <c r="Q118" s="436">
        <f t="shared" si="2"/>
        <v>0</v>
      </c>
    </row>
    <row r="119" spans="2:17" ht="13.5" thickBot="1" x14ac:dyDescent="0.25">
      <c r="B119" s="521" t="str">
        <f>+'11'!B203:M203</f>
        <v>Прочая закупка товаров, работ и услуг</v>
      </c>
      <c r="C119" s="521"/>
      <c r="D119" s="521"/>
      <c r="E119" s="521"/>
      <c r="F119" s="522"/>
      <c r="G119" s="366" t="str">
        <f>+'11'!Q203</f>
        <v>0140276040</v>
      </c>
      <c r="H119" s="363" t="str">
        <f>+'11'!R203</f>
        <v>244</v>
      </c>
      <c r="I119" s="363">
        <f>+'11'!O203</f>
        <v>10</v>
      </c>
      <c r="J119" s="363">
        <f>+'11'!P203</f>
        <v>6</v>
      </c>
      <c r="K119" s="523"/>
      <c r="L119" s="524"/>
      <c r="M119" s="361"/>
      <c r="N119" s="362"/>
      <c r="O119" s="365">
        <f>+'11'!U203</f>
        <v>418.9</v>
      </c>
      <c r="P119" s="434">
        <f>+'11'!AG203</f>
        <v>94.698459999999997</v>
      </c>
      <c r="Q119" s="436">
        <f t="shared" si="2"/>
        <v>22.606459775602769</v>
      </c>
    </row>
    <row r="120" spans="2:17" s="419" customFormat="1" ht="34.5" customHeight="1" thickBot="1" x14ac:dyDescent="0.25">
      <c r="B120" s="525" t="str">
        <f>+'11'!B427:M427</f>
        <v>Муниципальная программа "Безопасность Овюрского кожууна на 2016-2018 годы"</v>
      </c>
      <c r="C120" s="525"/>
      <c r="D120" s="525"/>
      <c r="E120" s="525"/>
      <c r="F120" s="526"/>
      <c r="G120" s="420" t="str">
        <f>+'11'!Q427</f>
        <v>0200000000</v>
      </c>
      <c r="H120" s="421">
        <f>+'11'!R427</f>
        <v>0</v>
      </c>
      <c r="I120" s="421">
        <f>+'11'!O427</f>
        <v>1</v>
      </c>
      <c r="J120" s="421">
        <f>+'11'!P427</f>
        <v>13</v>
      </c>
      <c r="K120" s="527"/>
      <c r="L120" s="528"/>
      <c r="M120" s="422"/>
      <c r="N120" s="423"/>
      <c r="O120" s="424">
        <f>+O121+O126</f>
        <v>206</v>
      </c>
      <c r="P120" s="433">
        <f>+P121+P126</f>
        <v>26</v>
      </c>
      <c r="Q120" s="435">
        <f t="shared" si="2"/>
        <v>12.621359223300971</v>
      </c>
    </row>
    <row r="121" spans="2:17" ht="13.5" thickBot="1" x14ac:dyDescent="0.25">
      <c r="B121" s="521" t="str">
        <f>+'11'!B428:M428</f>
        <v>подпрограмма "Профилактика правонарушений"</v>
      </c>
      <c r="C121" s="521"/>
      <c r="D121" s="521"/>
      <c r="E121" s="521"/>
      <c r="F121" s="522"/>
      <c r="G121" s="366" t="str">
        <f>+'11'!Q428</f>
        <v>0220000000</v>
      </c>
      <c r="H121" s="363">
        <f>+'11'!R428</f>
        <v>0</v>
      </c>
      <c r="I121" s="363">
        <f>+'11'!O428</f>
        <v>1</v>
      </c>
      <c r="J121" s="363">
        <f>+'11'!P428</f>
        <v>13</v>
      </c>
      <c r="K121" s="523"/>
      <c r="L121" s="524"/>
      <c r="M121" s="361"/>
      <c r="N121" s="362"/>
      <c r="O121" s="365">
        <f>+'11'!U428</f>
        <v>64</v>
      </c>
      <c r="P121" s="434">
        <f>+'11'!AG428</f>
        <v>26</v>
      </c>
      <c r="Q121" s="436">
        <f t="shared" si="2"/>
        <v>40.625</v>
      </c>
    </row>
    <row r="122" spans="2:17" ht="13.5" thickBot="1" x14ac:dyDescent="0.25">
      <c r="B122" s="521" t="str">
        <f>+'11'!B429:M429</f>
        <v>Основное мероприятие: "Осуществление отдельных государственных полномочий по профилактике безнадзорности и правонарушений несовершеннолетних"</v>
      </c>
      <c r="C122" s="521"/>
      <c r="D122" s="521"/>
      <c r="E122" s="521"/>
      <c r="F122" s="522"/>
      <c r="G122" s="366" t="str">
        <f>+'11'!Q429</f>
        <v>0220104016</v>
      </c>
      <c r="H122" s="363">
        <f>+'11'!R429</f>
        <v>0</v>
      </c>
      <c r="I122" s="363">
        <f>+'11'!O429</f>
        <v>1</v>
      </c>
      <c r="J122" s="363">
        <f>+'11'!P429</f>
        <v>13</v>
      </c>
      <c r="K122" s="523"/>
      <c r="L122" s="524"/>
      <c r="M122" s="361"/>
      <c r="N122" s="362"/>
      <c r="O122" s="365">
        <f>+'11'!U429</f>
        <v>64</v>
      </c>
      <c r="P122" s="434">
        <f>+'11'!AG429</f>
        <v>26</v>
      </c>
      <c r="Q122" s="436">
        <f t="shared" si="2"/>
        <v>40.625</v>
      </c>
    </row>
    <row r="123" spans="2:17" ht="13.5" thickBot="1" x14ac:dyDescent="0.25">
      <c r="B123" s="521" t="str">
        <f>+'11'!B430:M430</f>
        <v>Закупка товаров, работ и услуг для обеспечения государственных (муниципальных) нужд</v>
      </c>
      <c r="C123" s="521"/>
      <c r="D123" s="521"/>
      <c r="E123" s="521"/>
      <c r="F123" s="522"/>
      <c r="G123" s="366" t="str">
        <f>+'11'!Q430</f>
        <v>0220104016</v>
      </c>
      <c r="H123" s="363" t="str">
        <f>+'11'!R430</f>
        <v>200</v>
      </c>
      <c r="I123" s="363">
        <f>+'11'!O430</f>
        <v>1</v>
      </c>
      <c r="J123" s="363">
        <f>+'11'!P430</f>
        <v>13</v>
      </c>
      <c r="K123" s="523"/>
      <c r="L123" s="524"/>
      <c r="M123" s="361"/>
      <c r="N123" s="362"/>
      <c r="O123" s="365">
        <f>+'11'!U430</f>
        <v>64</v>
      </c>
      <c r="P123" s="434">
        <f>+'11'!AG430</f>
        <v>26</v>
      </c>
      <c r="Q123" s="436">
        <f t="shared" si="2"/>
        <v>40.625</v>
      </c>
    </row>
    <row r="124" spans="2:17" ht="13.5" thickBot="1" x14ac:dyDescent="0.25">
      <c r="B124" s="521" t="str">
        <f>+'11'!B431:M431</f>
        <v>Иные закупки товаров, работ и услуг для обеспечения государственных (муниципальных) нужд</v>
      </c>
      <c r="C124" s="521"/>
      <c r="D124" s="521"/>
      <c r="E124" s="521"/>
      <c r="F124" s="522"/>
      <c r="G124" s="366" t="str">
        <f>+'11'!Q431</f>
        <v>0220104016</v>
      </c>
      <c r="H124" s="363" t="str">
        <f>+'11'!R431</f>
        <v>240</v>
      </c>
      <c r="I124" s="363">
        <f>+'11'!O431</f>
        <v>1</v>
      </c>
      <c r="J124" s="363">
        <f>+'11'!P431</f>
        <v>13</v>
      </c>
      <c r="K124" s="523"/>
      <c r="L124" s="524"/>
      <c r="M124" s="361"/>
      <c r="N124" s="362"/>
      <c r="O124" s="365">
        <f>+'11'!U431</f>
        <v>64</v>
      </c>
      <c r="P124" s="434">
        <f>+'11'!AG431</f>
        <v>26</v>
      </c>
      <c r="Q124" s="436">
        <f t="shared" si="2"/>
        <v>40.625</v>
      </c>
    </row>
    <row r="125" spans="2:17" ht="13.5" thickBot="1" x14ac:dyDescent="0.25">
      <c r="B125" s="521" t="str">
        <f>+'11'!B432:M432</f>
        <v>Прочая закупка товаров, работ и услуг</v>
      </c>
      <c r="C125" s="521"/>
      <c r="D125" s="521"/>
      <c r="E125" s="521"/>
      <c r="F125" s="522"/>
      <c r="G125" s="366" t="str">
        <f>+'11'!Q432</f>
        <v>0220104016</v>
      </c>
      <c r="H125" s="363" t="str">
        <f>+'11'!R432</f>
        <v>244</v>
      </c>
      <c r="I125" s="363">
        <f>+'11'!O432</f>
        <v>1</v>
      </c>
      <c r="J125" s="363">
        <f>+'11'!P432</f>
        <v>13</v>
      </c>
      <c r="K125" s="523"/>
      <c r="L125" s="524"/>
      <c r="M125" s="361"/>
      <c r="N125" s="362"/>
      <c r="O125" s="365">
        <f>+'11'!U432</f>
        <v>64</v>
      </c>
      <c r="P125" s="434">
        <f>+'11'!AG432</f>
        <v>26</v>
      </c>
      <c r="Q125" s="436">
        <f t="shared" si="2"/>
        <v>40.625</v>
      </c>
    </row>
    <row r="126" spans="2:17" ht="13.5" thickBot="1" x14ac:dyDescent="0.25">
      <c r="B126" s="521" t="str">
        <f>+'11'!B494:M494</f>
        <v>Основное мероприятие: "Осуществление отдельных государственных полномочий по профилактике безнадзорности и правонарушений несовершеннолетних"</v>
      </c>
      <c r="C126" s="521"/>
      <c r="D126" s="521"/>
      <c r="E126" s="521"/>
      <c r="F126" s="522"/>
      <c r="G126" s="366" t="str">
        <f>+'11'!Q494</f>
        <v>0220104016</v>
      </c>
      <c r="H126" s="363">
        <f>+'11'!R494</f>
        <v>0</v>
      </c>
      <c r="I126" s="363">
        <f>+'11'!O494</f>
        <v>3</v>
      </c>
      <c r="J126" s="363">
        <f>+'11'!P494</f>
        <v>14</v>
      </c>
      <c r="K126" s="523"/>
      <c r="L126" s="524"/>
      <c r="M126" s="361"/>
      <c r="N126" s="362"/>
      <c r="O126" s="365">
        <f>+'11'!U494</f>
        <v>142</v>
      </c>
      <c r="P126" s="434">
        <f>+'11'!AG494</f>
        <v>0</v>
      </c>
      <c r="Q126" s="436">
        <f t="shared" si="2"/>
        <v>0</v>
      </c>
    </row>
    <row r="127" spans="2:17" ht="13.5" thickBot="1" x14ac:dyDescent="0.25">
      <c r="B127" s="521" t="str">
        <f>+'11'!B495:M495</f>
        <v>Закупка товаров, работ и услуг для обеспечения государственных (муниципальных) нужд</v>
      </c>
      <c r="C127" s="521"/>
      <c r="D127" s="521"/>
      <c r="E127" s="521"/>
      <c r="F127" s="522"/>
      <c r="G127" s="366" t="str">
        <f>+'11'!Q495</f>
        <v>0220104016</v>
      </c>
      <c r="H127" s="363" t="str">
        <f>+'11'!R495</f>
        <v>200</v>
      </c>
      <c r="I127" s="363">
        <f>+'11'!O495</f>
        <v>3</v>
      </c>
      <c r="J127" s="363">
        <f>+'11'!P495</f>
        <v>14</v>
      </c>
      <c r="K127" s="523"/>
      <c r="L127" s="524"/>
      <c r="M127" s="361"/>
      <c r="N127" s="362"/>
      <c r="O127" s="365">
        <f>+'11'!U495</f>
        <v>142</v>
      </c>
      <c r="P127" s="434">
        <f>+'11'!AG495</f>
        <v>0</v>
      </c>
      <c r="Q127" s="436">
        <f t="shared" si="2"/>
        <v>0</v>
      </c>
    </row>
    <row r="128" spans="2:17" ht="13.5" thickBot="1" x14ac:dyDescent="0.25">
      <c r="B128" s="521" t="str">
        <f>+'11'!B496:M496</f>
        <v>Иные закупки товаров, работ и услуг для обеспечения государственных (муниципальных) нужд</v>
      </c>
      <c r="C128" s="521"/>
      <c r="D128" s="521"/>
      <c r="E128" s="521"/>
      <c r="F128" s="522"/>
      <c r="G128" s="366" t="str">
        <f>+'11'!Q496</f>
        <v>0220104016</v>
      </c>
      <c r="H128" s="363" t="str">
        <f>+'11'!R496</f>
        <v>240</v>
      </c>
      <c r="I128" s="363">
        <f>+'11'!O496</f>
        <v>3</v>
      </c>
      <c r="J128" s="363">
        <f>+'11'!P496</f>
        <v>14</v>
      </c>
      <c r="K128" s="523"/>
      <c r="L128" s="524"/>
      <c r="M128" s="361"/>
      <c r="N128" s="362"/>
      <c r="O128" s="365">
        <f>+'11'!U496</f>
        <v>142</v>
      </c>
      <c r="P128" s="434">
        <f>+'11'!AG496</f>
        <v>0</v>
      </c>
      <c r="Q128" s="436">
        <f t="shared" si="2"/>
        <v>0</v>
      </c>
    </row>
    <row r="129" spans="2:17" ht="13.5" thickBot="1" x14ac:dyDescent="0.25">
      <c r="B129" s="521" t="str">
        <f>+'11'!B497:M497</f>
        <v>Прочая закупка товаров, работ и услуг</v>
      </c>
      <c r="C129" s="521"/>
      <c r="D129" s="521"/>
      <c r="E129" s="521"/>
      <c r="F129" s="522"/>
      <c r="G129" s="366" t="str">
        <f>+'11'!Q497</f>
        <v>0220104016</v>
      </c>
      <c r="H129" s="363" t="str">
        <f>+'11'!R497</f>
        <v>244</v>
      </c>
      <c r="I129" s="363">
        <f>+'11'!O497</f>
        <v>3</v>
      </c>
      <c r="J129" s="363">
        <f>+'11'!P497</f>
        <v>14</v>
      </c>
      <c r="K129" s="523"/>
      <c r="L129" s="524"/>
      <c r="M129" s="361"/>
      <c r="N129" s="362"/>
      <c r="O129" s="365">
        <f>+'11'!U497</f>
        <v>142</v>
      </c>
      <c r="P129" s="434">
        <f>+'11'!AG497</f>
        <v>0</v>
      </c>
      <c r="Q129" s="436">
        <f t="shared" si="2"/>
        <v>0</v>
      </c>
    </row>
    <row r="130" spans="2:17" s="419" customFormat="1" ht="13.5" thickBot="1" x14ac:dyDescent="0.25">
      <c r="B130" s="525" t="str">
        <f>+'11'!B500:M500</f>
        <v>Программа "Содержание и развитие муниципального хозяйства"</v>
      </c>
      <c r="C130" s="525"/>
      <c r="D130" s="525"/>
      <c r="E130" s="525"/>
      <c r="F130" s="526"/>
      <c r="G130" s="420" t="str">
        <f>+'11'!Q500</f>
        <v>0300000000</v>
      </c>
      <c r="H130" s="421">
        <f>+'11'!R500</f>
        <v>0</v>
      </c>
      <c r="I130" s="421">
        <f>+'11'!O500</f>
        <v>4</v>
      </c>
      <c r="J130" s="421">
        <f>+'11'!P500</f>
        <v>9</v>
      </c>
      <c r="K130" s="527"/>
      <c r="L130" s="528"/>
      <c r="M130" s="422"/>
      <c r="N130" s="423"/>
      <c r="O130" s="424">
        <f>+O131+O136</f>
        <v>2136</v>
      </c>
      <c r="P130" s="433">
        <f>+P131+P136</f>
        <v>115</v>
      </c>
      <c r="Q130" s="435">
        <f t="shared" si="2"/>
        <v>5.3838951310861427</v>
      </c>
    </row>
    <row r="131" spans="2:17" ht="13.5" thickBot="1" x14ac:dyDescent="0.25">
      <c r="B131" s="521" t="str">
        <f>+'11'!B522:M522</f>
        <v>Подпрограмма "Благоустройство"</v>
      </c>
      <c r="C131" s="521"/>
      <c r="D131" s="521"/>
      <c r="E131" s="521"/>
      <c r="F131" s="522"/>
      <c r="G131" s="366" t="str">
        <f>+'11'!Q522</f>
        <v>0310000000</v>
      </c>
      <c r="H131" s="363">
        <f>+'11'!R522</f>
        <v>0</v>
      </c>
      <c r="I131" s="363">
        <f>+'11'!O522</f>
        <v>5</v>
      </c>
      <c r="J131" s="363">
        <f>+'11'!P522</f>
        <v>3</v>
      </c>
      <c r="K131" s="416"/>
      <c r="L131" s="417"/>
      <c r="M131" s="361"/>
      <c r="N131" s="362"/>
      <c r="O131" s="365">
        <f>+'11'!U522</f>
        <v>1060</v>
      </c>
      <c r="P131" s="434">
        <f>+'11'!AG522</f>
        <v>115</v>
      </c>
      <c r="Q131" s="436">
        <f t="shared" si="2"/>
        <v>10.849056603773585</v>
      </c>
    </row>
    <row r="132" spans="2:17" ht="13.5" customHeight="1" thickBot="1" x14ac:dyDescent="0.25">
      <c r="B132" s="521" t="str">
        <f>+'11'!B523:M523</f>
        <v>Благоустройство территории поселения</v>
      </c>
      <c r="C132" s="521"/>
      <c r="D132" s="521"/>
      <c r="E132" s="521"/>
      <c r="F132" s="522"/>
      <c r="G132" s="366" t="str">
        <f>+'11'!Q523</f>
        <v>0310107011</v>
      </c>
      <c r="H132" s="363">
        <f>+'11'!R523</f>
        <v>0</v>
      </c>
      <c r="I132" s="363">
        <f>+'11'!O523</f>
        <v>5</v>
      </c>
      <c r="J132" s="363">
        <f>+'11'!P523</f>
        <v>3</v>
      </c>
      <c r="K132" s="416"/>
      <c r="L132" s="417"/>
      <c r="M132" s="361"/>
      <c r="N132" s="362"/>
      <c r="O132" s="365">
        <f>+'11'!U523</f>
        <v>1060</v>
      </c>
      <c r="P132" s="434">
        <f>+'11'!AG523</f>
        <v>115</v>
      </c>
      <c r="Q132" s="436">
        <f t="shared" si="2"/>
        <v>10.849056603773585</v>
      </c>
    </row>
    <row r="133" spans="2:17" ht="13.5" customHeight="1" thickBot="1" x14ac:dyDescent="0.25">
      <c r="B133" s="521" t="str">
        <f>+'11'!B524:M524</f>
        <v>Закупка товаров, работ и услуг для обеспечения государственных (муниципальных) нужд</v>
      </c>
      <c r="C133" s="521"/>
      <c r="D133" s="521"/>
      <c r="E133" s="521"/>
      <c r="F133" s="522"/>
      <c r="G133" s="366" t="str">
        <f>+'11'!Q524</f>
        <v>0310107011</v>
      </c>
      <c r="H133" s="363" t="str">
        <f>+'11'!R524</f>
        <v>200</v>
      </c>
      <c r="I133" s="363">
        <f>+'11'!O524</f>
        <v>5</v>
      </c>
      <c r="J133" s="363">
        <f>+'11'!P524</f>
        <v>3</v>
      </c>
      <c r="K133" s="416"/>
      <c r="L133" s="417"/>
      <c r="M133" s="361"/>
      <c r="N133" s="362"/>
      <c r="O133" s="365">
        <f>+'11'!U524</f>
        <v>1060</v>
      </c>
      <c r="P133" s="434">
        <f>+'11'!AG524</f>
        <v>115</v>
      </c>
      <c r="Q133" s="436">
        <f t="shared" si="2"/>
        <v>10.849056603773585</v>
      </c>
    </row>
    <row r="134" spans="2:17" ht="13.5" customHeight="1" thickBot="1" x14ac:dyDescent="0.25">
      <c r="B134" s="521" t="str">
        <f>+'11'!B525:M525</f>
        <v>Иные закупки товаров, работ и услуг для обеспечения государственных (муниципальных) нужд</v>
      </c>
      <c r="C134" s="521"/>
      <c r="D134" s="521"/>
      <c r="E134" s="521"/>
      <c r="F134" s="522"/>
      <c r="G134" s="366" t="str">
        <f>+'11'!Q525</f>
        <v>0310107011</v>
      </c>
      <c r="H134" s="363" t="str">
        <f>+'11'!R525</f>
        <v>240</v>
      </c>
      <c r="I134" s="363">
        <f>+'11'!O525</f>
        <v>5</v>
      </c>
      <c r="J134" s="363">
        <f>+'11'!P525</f>
        <v>3</v>
      </c>
      <c r="K134" s="416"/>
      <c r="L134" s="417"/>
      <c r="M134" s="361"/>
      <c r="N134" s="362"/>
      <c r="O134" s="365">
        <f>+'11'!U525</f>
        <v>1060</v>
      </c>
      <c r="P134" s="434">
        <f>+'11'!AG525</f>
        <v>115</v>
      </c>
      <c r="Q134" s="436">
        <f t="shared" si="2"/>
        <v>10.849056603773585</v>
      </c>
    </row>
    <row r="135" spans="2:17" ht="13.5" customHeight="1" thickBot="1" x14ac:dyDescent="0.25">
      <c r="B135" s="521" t="str">
        <f>+'11'!B526:M526</f>
        <v>Прочая закупка товаров, работ и услуг</v>
      </c>
      <c r="C135" s="521"/>
      <c r="D135" s="521"/>
      <c r="E135" s="521"/>
      <c r="F135" s="522"/>
      <c r="G135" s="366" t="str">
        <f>+'11'!Q526</f>
        <v>0310107011</v>
      </c>
      <c r="H135" s="363" t="str">
        <f>+'11'!R526</f>
        <v>244</v>
      </c>
      <c r="I135" s="363">
        <f>+'11'!O526</f>
        <v>5</v>
      </c>
      <c r="J135" s="363">
        <f>+'11'!P526</f>
        <v>3</v>
      </c>
      <c r="K135" s="416"/>
      <c r="L135" s="417"/>
      <c r="M135" s="361"/>
      <c r="N135" s="362"/>
      <c r="O135" s="365">
        <f>+'11'!U526</f>
        <v>1060</v>
      </c>
      <c r="P135" s="434">
        <f>+'11'!AG526</f>
        <v>115</v>
      </c>
      <c r="Q135" s="436">
        <f t="shared" si="2"/>
        <v>10.849056603773585</v>
      </c>
    </row>
    <row r="136" spans="2:17" ht="13.5" customHeight="1" thickBot="1" x14ac:dyDescent="0.25">
      <c r="B136" s="521" t="str">
        <f>+'11'!B501:M501</f>
        <v>Подпрограмма "Обеспечение организаций жилищно-коммунального хозяйства специализированной техникой"</v>
      </c>
      <c r="C136" s="521"/>
      <c r="D136" s="521"/>
      <c r="E136" s="521"/>
      <c r="F136" s="522"/>
      <c r="G136" s="366" t="str">
        <f>+'11'!Q501</f>
        <v>0320000000</v>
      </c>
      <c r="H136" s="363">
        <f>+'11'!R501</f>
        <v>0</v>
      </c>
      <c r="I136" s="363">
        <f>+'11'!O501</f>
        <v>4</v>
      </c>
      <c r="J136" s="363">
        <f>+'11'!P501</f>
        <v>9</v>
      </c>
      <c r="K136" s="523"/>
      <c r="L136" s="524"/>
      <c r="M136" s="361"/>
      <c r="N136" s="362"/>
      <c r="O136" s="365">
        <f>+'11'!U501</f>
        <v>1076</v>
      </c>
      <c r="P136" s="434">
        <f>+'11'!AG500</f>
        <v>0</v>
      </c>
      <c r="Q136" s="436">
        <f t="shared" si="2"/>
        <v>0</v>
      </c>
    </row>
    <row r="137" spans="2:17" ht="13.5" customHeight="1" thickBot="1" x14ac:dyDescent="0.25">
      <c r="B137" s="521" t="str">
        <f>+'11'!B502:M502</f>
        <v>Строительство, модернизация, ремонт и содержание автомобильных дорог общего пользования, в том числе дорог в поселениях (за исключением дорог федерального значения)</v>
      </c>
      <c r="C137" s="521"/>
      <c r="D137" s="521"/>
      <c r="E137" s="521"/>
      <c r="F137" s="522"/>
      <c r="G137" s="366" t="str">
        <f>+'11'!Q502</f>
        <v>0320107505</v>
      </c>
      <c r="H137" s="363">
        <f>+'11'!R502</f>
        <v>0</v>
      </c>
      <c r="I137" s="363">
        <f>+'11'!O502</f>
        <v>4</v>
      </c>
      <c r="J137" s="363">
        <f>+'11'!P502</f>
        <v>9</v>
      </c>
      <c r="K137" s="523"/>
      <c r="L137" s="524"/>
      <c r="M137" s="361"/>
      <c r="N137" s="362"/>
      <c r="O137" s="365">
        <f>+'11'!U502</f>
        <v>1076</v>
      </c>
      <c r="P137" s="434">
        <f>+'11'!AG501</f>
        <v>0</v>
      </c>
      <c r="Q137" s="436">
        <f t="shared" si="2"/>
        <v>0</v>
      </c>
    </row>
    <row r="138" spans="2:17" ht="13.5" thickBot="1" x14ac:dyDescent="0.25">
      <c r="B138" s="521" t="str">
        <f>+'11'!B503:M503</f>
        <v>Закупка товаров, работ и услуг для обеспечения государственных (муниципальных) нужд</v>
      </c>
      <c r="C138" s="521"/>
      <c r="D138" s="521"/>
      <c r="E138" s="521"/>
      <c r="F138" s="522"/>
      <c r="G138" s="366" t="str">
        <f>+'11'!Q503</f>
        <v>0320107505</v>
      </c>
      <c r="H138" s="363" t="str">
        <f>+'11'!R503</f>
        <v>200</v>
      </c>
      <c r="I138" s="363">
        <f>+'11'!O503</f>
        <v>4</v>
      </c>
      <c r="J138" s="363">
        <f>+'11'!P503</f>
        <v>9</v>
      </c>
      <c r="K138" s="523"/>
      <c r="L138" s="524"/>
      <c r="M138" s="361"/>
      <c r="N138" s="362"/>
      <c r="O138" s="365">
        <f>+'11'!U503</f>
        <v>1076</v>
      </c>
      <c r="P138" s="434">
        <f>+'11'!AG502</f>
        <v>0</v>
      </c>
      <c r="Q138" s="436">
        <f t="shared" si="2"/>
        <v>0</v>
      </c>
    </row>
    <row r="139" spans="2:17" ht="13.5" thickBot="1" x14ac:dyDescent="0.25">
      <c r="B139" s="521" t="str">
        <f>+'11'!B504:M504</f>
        <v>Иные закупки товаров, работ и услуг для обеспечения государственных (муниципальных) нужд</v>
      </c>
      <c r="C139" s="521"/>
      <c r="D139" s="521"/>
      <c r="E139" s="521"/>
      <c r="F139" s="522"/>
      <c r="G139" s="366" t="str">
        <f>+'11'!Q504</f>
        <v>0320107505</v>
      </c>
      <c r="H139" s="363" t="str">
        <f>+'11'!R504</f>
        <v>240</v>
      </c>
      <c r="I139" s="363">
        <f>+'11'!O504</f>
        <v>4</v>
      </c>
      <c r="J139" s="363">
        <f>+'11'!P504</f>
        <v>9</v>
      </c>
      <c r="K139" s="523"/>
      <c r="L139" s="524"/>
      <c r="M139" s="361"/>
      <c r="N139" s="362"/>
      <c r="O139" s="365">
        <f>+'11'!U504</f>
        <v>1076</v>
      </c>
      <c r="P139" s="434">
        <f>+'11'!AG503</f>
        <v>0</v>
      </c>
      <c r="Q139" s="436">
        <f t="shared" si="2"/>
        <v>0</v>
      </c>
    </row>
    <row r="140" spans="2:17" ht="13.5" thickBot="1" x14ac:dyDescent="0.25">
      <c r="B140" s="521" t="str">
        <f>+'11'!B505:M505</f>
        <v>Прочая закупка товаров, работ и услуг</v>
      </c>
      <c r="C140" s="521"/>
      <c r="D140" s="521"/>
      <c r="E140" s="521"/>
      <c r="F140" s="522"/>
      <c r="G140" s="366" t="str">
        <f>+'11'!Q505</f>
        <v>0320107505</v>
      </c>
      <c r="H140" s="363" t="str">
        <f>+'11'!R505</f>
        <v>244</v>
      </c>
      <c r="I140" s="363">
        <f>+'11'!O505</f>
        <v>4</v>
      </c>
      <c r="J140" s="363">
        <f>+'11'!P505</f>
        <v>9</v>
      </c>
      <c r="K140" s="523"/>
      <c r="L140" s="524"/>
      <c r="M140" s="361"/>
      <c r="N140" s="362"/>
      <c r="O140" s="365">
        <f>+'11'!U505</f>
        <v>1076</v>
      </c>
      <c r="P140" s="434">
        <f>+'11'!AG504</f>
        <v>0</v>
      </c>
      <c r="Q140" s="436">
        <f t="shared" si="2"/>
        <v>0</v>
      </c>
    </row>
    <row r="141" spans="2:17" s="419" customFormat="1" ht="13.5" thickBot="1" x14ac:dyDescent="0.25">
      <c r="B141" s="525" t="str">
        <f>+'11'!B207:M207</f>
        <v>Муниципальная программа "Развитие сельского хозяйства"</v>
      </c>
      <c r="C141" s="525"/>
      <c r="D141" s="525"/>
      <c r="E141" s="525"/>
      <c r="F141" s="526"/>
      <c r="G141" s="420" t="str">
        <f>+'11'!Q207</f>
        <v>0400000000</v>
      </c>
      <c r="H141" s="421">
        <f>+'11'!R207</f>
        <v>0</v>
      </c>
      <c r="I141" s="421">
        <f>+'11'!O207</f>
        <v>4</v>
      </c>
      <c r="J141" s="421">
        <f>+'11'!P207</f>
        <v>5</v>
      </c>
      <c r="K141" s="527"/>
      <c r="L141" s="528"/>
      <c r="M141" s="422"/>
      <c r="N141" s="423"/>
      <c r="O141" s="424">
        <f>+O142+O147+O155</f>
        <v>5210.0200000000004</v>
      </c>
      <c r="P141" s="433">
        <f>+P142+P147+P155</f>
        <v>25</v>
      </c>
      <c r="Q141" s="435">
        <f t="shared" si="2"/>
        <v>0.47984460712242943</v>
      </c>
    </row>
    <row r="142" spans="2:17" ht="13.5" thickBot="1" x14ac:dyDescent="0.25">
      <c r="B142" s="521" t="str">
        <f>+'11'!B550:M550</f>
        <v>Подпрограмма "Устойчивое развитие сельских территорий"</v>
      </c>
      <c r="C142" s="521"/>
      <c r="D142" s="521"/>
      <c r="E142" s="521"/>
      <c r="F142" s="522"/>
      <c r="G142" s="366" t="str">
        <f>+'11'!Q550</f>
        <v>0410000000</v>
      </c>
      <c r="H142" s="363">
        <f>+'11'!R550</f>
        <v>0</v>
      </c>
      <c r="I142" s="363">
        <f>+'11'!O550</f>
        <v>10</v>
      </c>
      <c r="J142" s="363">
        <f>+'11'!P550</f>
        <v>3</v>
      </c>
      <c r="K142" s="416"/>
      <c r="L142" s="417"/>
      <c r="M142" s="361"/>
      <c r="N142" s="362"/>
      <c r="O142" s="365">
        <f>+'11'!U550</f>
        <v>1064</v>
      </c>
      <c r="P142" s="434">
        <f>+'11'!AG550</f>
        <v>0</v>
      </c>
      <c r="Q142" s="436">
        <f t="shared" si="2"/>
        <v>0</v>
      </c>
    </row>
    <row r="143" spans="2:17" ht="13.5" thickBot="1" x14ac:dyDescent="0.25">
      <c r="B143" s="521" t="str">
        <f>+'11'!B551:M551</f>
        <v>Расходы на обеспечение мероприятий по улучшению жилищных условий граждан, молодых семей и молодых специалистов, проживающих и работающих в сельской местности</v>
      </c>
      <c r="C143" s="521"/>
      <c r="D143" s="521"/>
      <c r="E143" s="521"/>
      <c r="F143" s="522"/>
      <c r="G143" s="366" t="str">
        <f>+'11'!Q551</f>
        <v>0410172000</v>
      </c>
      <c r="H143" s="363">
        <f>+'11'!R551</f>
        <v>0</v>
      </c>
      <c r="I143" s="363">
        <f>+'11'!O551</f>
        <v>10</v>
      </c>
      <c r="J143" s="363">
        <f>+'11'!P551</f>
        <v>3</v>
      </c>
      <c r="K143" s="416"/>
      <c r="L143" s="417"/>
      <c r="M143" s="361"/>
      <c r="N143" s="362"/>
      <c r="O143" s="365">
        <f>+'11'!U551</f>
        <v>1064</v>
      </c>
      <c r="P143" s="434">
        <f>+'11'!AG551</f>
        <v>0</v>
      </c>
      <c r="Q143" s="436">
        <f t="shared" si="2"/>
        <v>0</v>
      </c>
    </row>
    <row r="144" spans="2:17" ht="13.5" thickBot="1" x14ac:dyDescent="0.25">
      <c r="B144" s="521" t="str">
        <f>+'11'!B552:M552</f>
        <v>Социальное обеспечение и иные выплаты населению</v>
      </c>
      <c r="C144" s="521"/>
      <c r="D144" s="521"/>
      <c r="E144" s="521"/>
      <c r="F144" s="522"/>
      <c r="G144" s="366" t="str">
        <f>+'11'!Q552</f>
        <v>0410172000</v>
      </c>
      <c r="H144" s="363" t="str">
        <f>+'11'!R552</f>
        <v>300</v>
      </c>
      <c r="I144" s="363">
        <f>+'11'!O552</f>
        <v>10</v>
      </c>
      <c r="J144" s="363">
        <f>+'11'!P552</f>
        <v>3</v>
      </c>
      <c r="K144" s="416"/>
      <c r="L144" s="417"/>
      <c r="M144" s="361"/>
      <c r="N144" s="362"/>
      <c r="O144" s="365">
        <f>+'11'!U552</f>
        <v>1064</v>
      </c>
      <c r="P144" s="434">
        <f>+'11'!AG552</f>
        <v>0</v>
      </c>
      <c r="Q144" s="436">
        <f t="shared" si="2"/>
        <v>0</v>
      </c>
    </row>
    <row r="145" spans="2:17" ht="13.5" thickBot="1" x14ac:dyDescent="0.25">
      <c r="B145" s="521" t="str">
        <f>+'11'!B553:M553</f>
        <v>Социальные выплаты гражданам, кроме публичных нормативных социальных выплат</v>
      </c>
      <c r="C145" s="521"/>
      <c r="D145" s="521"/>
      <c r="E145" s="521"/>
      <c r="F145" s="522"/>
      <c r="G145" s="366" t="str">
        <f>+'11'!Q553</f>
        <v>0410172000</v>
      </c>
      <c r="H145" s="363" t="str">
        <f>+'11'!R553</f>
        <v>320</v>
      </c>
      <c r="I145" s="363">
        <f>+'11'!O553</f>
        <v>10</v>
      </c>
      <c r="J145" s="363">
        <f>+'11'!P553</f>
        <v>3</v>
      </c>
      <c r="K145" s="416"/>
      <c r="L145" s="417"/>
      <c r="M145" s="361"/>
      <c r="N145" s="362"/>
      <c r="O145" s="365">
        <f>+'11'!U553</f>
        <v>1064</v>
      </c>
      <c r="P145" s="434">
        <f>+'11'!AG553</f>
        <v>0</v>
      </c>
      <c r="Q145" s="436">
        <f t="shared" si="2"/>
        <v>0</v>
      </c>
    </row>
    <row r="146" spans="2:17" ht="13.5" thickBot="1" x14ac:dyDescent="0.25">
      <c r="B146" s="521" t="str">
        <f>+'11'!B554:M554</f>
        <v>Субсидии гражданам на приобретение жилья</v>
      </c>
      <c r="C146" s="521"/>
      <c r="D146" s="521"/>
      <c r="E146" s="521"/>
      <c r="F146" s="522"/>
      <c r="G146" s="366" t="str">
        <f>+'11'!Q554</f>
        <v>0410172000</v>
      </c>
      <c r="H146" s="363" t="str">
        <f>+'11'!R554</f>
        <v>322</v>
      </c>
      <c r="I146" s="363">
        <f>+'11'!O554</f>
        <v>10</v>
      </c>
      <c r="J146" s="363">
        <f>+'11'!P554</f>
        <v>3</v>
      </c>
      <c r="K146" s="416"/>
      <c r="L146" s="417"/>
      <c r="M146" s="361"/>
      <c r="N146" s="362"/>
      <c r="O146" s="365">
        <f>+'11'!U554</f>
        <v>1064</v>
      </c>
      <c r="P146" s="434">
        <f>+'11'!AG554</f>
        <v>0</v>
      </c>
      <c r="Q146" s="436">
        <f t="shared" si="2"/>
        <v>0</v>
      </c>
    </row>
    <row r="147" spans="2:17" ht="13.5" thickBot="1" x14ac:dyDescent="0.25">
      <c r="B147" s="521" t="str">
        <f>+'11'!B208:M208</f>
        <v>Подпрограмма "Реализация мероприятий по развитию сельского хозяйства и расшение рынка сельскохозяйственной продукции"</v>
      </c>
      <c r="C147" s="521"/>
      <c r="D147" s="521"/>
      <c r="E147" s="521"/>
      <c r="F147" s="522"/>
      <c r="G147" s="366" t="str">
        <f>+'11'!Q208</f>
        <v>0420000000</v>
      </c>
      <c r="H147" s="363">
        <f>+'11'!R208</f>
        <v>0</v>
      </c>
      <c r="I147" s="363">
        <f>+'11'!O208</f>
        <v>4</v>
      </c>
      <c r="J147" s="363">
        <f>+'11'!P208</f>
        <v>5</v>
      </c>
      <c r="K147" s="523"/>
      <c r="L147" s="524"/>
      <c r="M147" s="361"/>
      <c r="N147" s="362"/>
      <c r="O147" s="365">
        <f>+'11'!U208</f>
        <v>349</v>
      </c>
      <c r="P147" s="434">
        <f>+'11'!AG208</f>
        <v>25</v>
      </c>
      <c r="Q147" s="436">
        <f t="shared" si="2"/>
        <v>7.1633237822349569</v>
      </c>
    </row>
    <row r="148" spans="2:17" ht="13.5" thickBot="1" x14ac:dyDescent="0.25">
      <c r="B148" s="521" t="str">
        <f>+'11'!B209:M209</f>
        <v>Поддержка предприятий</v>
      </c>
      <c r="C148" s="521"/>
      <c r="D148" s="521"/>
      <c r="E148" s="521"/>
      <c r="F148" s="522"/>
      <c r="G148" s="366" t="str">
        <f>+'11'!Q209</f>
        <v>0420170060</v>
      </c>
      <c r="H148" s="363">
        <f>+'11'!R209</f>
        <v>0</v>
      </c>
      <c r="I148" s="363">
        <f>+'11'!O209</f>
        <v>4</v>
      </c>
      <c r="J148" s="363">
        <f>+'11'!P209</f>
        <v>5</v>
      </c>
      <c r="K148" s="523"/>
      <c r="L148" s="524"/>
      <c r="M148" s="361"/>
      <c r="N148" s="362"/>
      <c r="O148" s="365">
        <f>+'11'!U209</f>
        <v>349</v>
      </c>
      <c r="P148" s="434">
        <f>+'11'!AG209</f>
        <v>25</v>
      </c>
      <c r="Q148" s="436">
        <f t="shared" si="2"/>
        <v>7.1633237822349569</v>
      </c>
    </row>
    <row r="149" spans="2:17" ht="13.5" thickBot="1" x14ac:dyDescent="0.25">
      <c r="B149" s="521" t="str">
        <f>+'11'!B210:M210</f>
        <v>Закупка товаров, работ и услуг для обеспечения государственных (муниципальных) нужд</v>
      </c>
      <c r="C149" s="521"/>
      <c r="D149" s="521"/>
      <c r="E149" s="521"/>
      <c r="F149" s="522"/>
      <c r="G149" s="366" t="str">
        <f>+'11'!Q210</f>
        <v>0420170060</v>
      </c>
      <c r="H149" s="363" t="str">
        <f>+'11'!R210</f>
        <v>200</v>
      </c>
      <c r="I149" s="363">
        <f>+'11'!O210</f>
        <v>4</v>
      </c>
      <c r="J149" s="363">
        <f>+'11'!P210</f>
        <v>5</v>
      </c>
      <c r="K149" s="523"/>
      <c r="L149" s="524"/>
      <c r="M149" s="361"/>
      <c r="N149" s="362"/>
      <c r="O149" s="365">
        <f>+'11'!U210</f>
        <v>199</v>
      </c>
      <c r="P149" s="434">
        <f>+'11'!AG210</f>
        <v>25</v>
      </c>
      <c r="Q149" s="436">
        <f t="shared" si="2"/>
        <v>12.562814070351758</v>
      </c>
    </row>
    <row r="150" spans="2:17" ht="13.5" thickBot="1" x14ac:dyDescent="0.25">
      <c r="B150" s="521" t="str">
        <f>+'11'!B211:M211</f>
        <v>Иные закупки товаров, работ и услуг для обеспечения государственных (муниципальных) нужд</v>
      </c>
      <c r="C150" s="521"/>
      <c r="D150" s="521"/>
      <c r="E150" s="521"/>
      <c r="F150" s="522"/>
      <c r="G150" s="366" t="str">
        <f>+'11'!Q211</f>
        <v>0420170060</v>
      </c>
      <c r="H150" s="363" t="str">
        <f>+'11'!R211</f>
        <v>240</v>
      </c>
      <c r="I150" s="363">
        <f>+'11'!O211</f>
        <v>4</v>
      </c>
      <c r="J150" s="363">
        <f>+'11'!P211</f>
        <v>5</v>
      </c>
      <c r="K150" s="523"/>
      <c r="L150" s="524"/>
      <c r="M150" s="361"/>
      <c r="N150" s="362"/>
      <c r="O150" s="365">
        <f>+'11'!U211</f>
        <v>199</v>
      </c>
      <c r="P150" s="434">
        <f>+'11'!AG211</f>
        <v>25</v>
      </c>
      <c r="Q150" s="436">
        <f t="shared" si="2"/>
        <v>12.562814070351758</v>
      </c>
    </row>
    <row r="151" spans="2:17" ht="13.5" thickBot="1" x14ac:dyDescent="0.25">
      <c r="B151" s="521" t="str">
        <f>+'11'!B212:M212</f>
        <v>Прочая закупка товаров, работ и услуг</v>
      </c>
      <c r="C151" s="521"/>
      <c r="D151" s="521"/>
      <c r="E151" s="521"/>
      <c r="F151" s="522"/>
      <c r="G151" s="366" t="str">
        <f>+'11'!Q212</f>
        <v>0420170060</v>
      </c>
      <c r="H151" s="363" t="str">
        <f>+'11'!R212</f>
        <v>244</v>
      </c>
      <c r="I151" s="363">
        <f>+'11'!O212</f>
        <v>4</v>
      </c>
      <c r="J151" s="363">
        <f>+'11'!P212</f>
        <v>5</v>
      </c>
      <c r="K151" s="523"/>
      <c r="L151" s="524"/>
      <c r="M151" s="361"/>
      <c r="N151" s="362"/>
      <c r="O151" s="365">
        <f>+'11'!U212</f>
        <v>199</v>
      </c>
      <c r="P151" s="434">
        <f>+'11'!AG212</f>
        <v>25</v>
      </c>
      <c r="Q151" s="436">
        <f t="shared" si="2"/>
        <v>12.562814070351758</v>
      </c>
    </row>
    <row r="152" spans="2:17" ht="13.5" thickBot="1" x14ac:dyDescent="0.25">
      <c r="B152" s="521" t="str">
        <f>+'11'!B213:M213</f>
        <v>Иные бюджетные ассигнования</v>
      </c>
      <c r="C152" s="521"/>
      <c r="D152" s="521"/>
      <c r="E152" s="521"/>
      <c r="F152" s="522"/>
      <c r="G152" s="366" t="str">
        <f>+'11'!Q213</f>
        <v>0420170060</v>
      </c>
      <c r="H152" s="363" t="str">
        <f>+'11'!R213</f>
        <v>800</v>
      </c>
      <c r="I152" s="363">
        <f>+'11'!O213</f>
        <v>4</v>
      </c>
      <c r="J152" s="363">
        <f>+'11'!P213</f>
        <v>5</v>
      </c>
      <c r="K152" s="523"/>
      <c r="L152" s="524"/>
      <c r="M152" s="361"/>
      <c r="N152" s="362"/>
      <c r="O152" s="365">
        <f>+'11'!U213</f>
        <v>150</v>
      </c>
      <c r="P152" s="434">
        <f>+'11'!AG213</f>
        <v>0</v>
      </c>
      <c r="Q152" s="436">
        <f t="shared" si="2"/>
        <v>0</v>
      </c>
    </row>
    <row r="153" spans="2:17" ht="13.5" thickBot="1" x14ac:dyDescent="0.25">
      <c r="B153" s="521" t="str">
        <f>+'11'!B214:M214</f>
        <v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v>
      </c>
      <c r="C153" s="521"/>
      <c r="D153" s="521"/>
      <c r="E153" s="521"/>
      <c r="F153" s="522"/>
      <c r="G153" s="366" t="str">
        <f>+'11'!Q214</f>
        <v>0420170060</v>
      </c>
      <c r="H153" s="363" t="str">
        <f>+'11'!R214</f>
        <v>810</v>
      </c>
      <c r="I153" s="363">
        <f>+'11'!O214</f>
        <v>4</v>
      </c>
      <c r="J153" s="363">
        <f>+'11'!P214</f>
        <v>5</v>
      </c>
      <c r="K153" s="523"/>
      <c r="L153" s="524"/>
      <c r="M153" s="361"/>
      <c r="N153" s="362"/>
      <c r="O153" s="365">
        <f>+'11'!U214</f>
        <v>150</v>
      </c>
      <c r="P153" s="434">
        <f>+'11'!AG214</f>
        <v>0</v>
      </c>
      <c r="Q153" s="436">
        <f t="shared" si="2"/>
        <v>0</v>
      </c>
    </row>
    <row r="154" spans="2:17" ht="13.5" thickBot="1" x14ac:dyDescent="0.25">
      <c r="B154" s="521" t="str">
        <f>+'11'!B215:M215</f>
        <v>Субсидии (гранты в форме субсидий) на финансовое обеспечение затрат в связи с производством (реализацией) товаров, выполнением работ, оказанием услуг, порядком (правилами) предоставления которых не установлены требования о последующем подтверждении их использования в соответствии с условиями и (или) целями предоставления</v>
      </c>
      <c r="C154" s="521"/>
      <c r="D154" s="521"/>
      <c r="E154" s="521"/>
      <c r="F154" s="522"/>
      <c r="G154" s="366" t="str">
        <f>+'11'!Q215</f>
        <v>0420170060</v>
      </c>
      <c r="H154" s="363" t="str">
        <f>+'11'!R215</f>
        <v>813</v>
      </c>
      <c r="I154" s="363">
        <f>+'11'!O215</f>
        <v>4</v>
      </c>
      <c r="J154" s="363">
        <f>+'11'!P215</f>
        <v>5</v>
      </c>
      <c r="K154" s="523"/>
      <c r="L154" s="524"/>
      <c r="M154" s="361"/>
      <c r="N154" s="362"/>
      <c r="O154" s="365">
        <f>+'11'!U215</f>
        <v>150</v>
      </c>
      <c r="P154" s="434">
        <f>+'11'!AG215</f>
        <v>0</v>
      </c>
      <c r="Q154" s="436">
        <f t="shared" si="2"/>
        <v>0</v>
      </c>
    </row>
    <row r="155" spans="2:17" ht="13.5" thickBot="1" x14ac:dyDescent="0.25">
      <c r="B155" s="521" t="str">
        <f>+'11'!B556:M556</f>
        <v>Обеспечение комплексного развития сельских территорий</v>
      </c>
      <c r="C155" s="521"/>
      <c r="D155" s="521"/>
      <c r="E155" s="521"/>
      <c r="F155" s="522"/>
      <c r="G155" s="366" t="str">
        <f>+'11'!Q556</f>
        <v>0430000000</v>
      </c>
      <c r="H155" s="366">
        <f>+'11'!R556</f>
        <v>0</v>
      </c>
      <c r="I155" s="363">
        <f>+'11'!O556</f>
        <v>10</v>
      </c>
      <c r="J155" s="363">
        <f>+'11'!P556</f>
        <v>3</v>
      </c>
      <c r="K155" s="523"/>
      <c r="L155" s="524"/>
      <c r="M155" s="361"/>
      <c r="N155" s="362"/>
      <c r="O155" s="365">
        <f>+'11'!U556</f>
        <v>3797.02</v>
      </c>
      <c r="P155" s="434">
        <f>+'11'!AG556</f>
        <v>0</v>
      </c>
      <c r="Q155" s="436">
        <f t="shared" si="2"/>
        <v>0</v>
      </c>
    </row>
    <row r="156" spans="2:17" ht="13.5" thickBot="1" x14ac:dyDescent="0.25">
      <c r="B156" s="521" t="str">
        <f>+'11'!B557:M557</f>
        <v>Обеспечение комплексного развития сельских территорий</v>
      </c>
      <c r="C156" s="521"/>
      <c r="D156" s="521"/>
      <c r="E156" s="521"/>
      <c r="F156" s="522"/>
      <c r="G156" s="366" t="str">
        <f>+'11'!Q557</f>
        <v>04301L5760</v>
      </c>
      <c r="H156" s="366">
        <f>+'11'!R557</f>
        <v>0</v>
      </c>
      <c r="I156" s="363">
        <f>+'11'!O557</f>
        <v>10</v>
      </c>
      <c r="J156" s="363">
        <f>+'11'!P557</f>
        <v>3</v>
      </c>
      <c r="K156" s="523"/>
      <c r="L156" s="524"/>
      <c r="M156" s="361"/>
      <c r="N156" s="362"/>
      <c r="O156" s="365">
        <f>+'11'!U557</f>
        <v>3797.02</v>
      </c>
      <c r="P156" s="434">
        <f>+'11'!AG557</f>
        <v>0</v>
      </c>
      <c r="Q156" s="436">
        <f t="shared" si="2"/>
        <v>0</v>
      </c>
    </row>
    <row r="157" spans="2:17" ht="13.5" thickBot="1" x14ac:dyDescent="0.25">
      <c r="B157" s="521" t="str">
        <f>+'11'!B558:M558</f>
        <v>Социальное обеспечение и иные выплаты населению</v>
      </c>
      <c r="C157" s="521"/>
      <c r="D157" s="521"/>
      <c r="E157" s="521"/>
      <c r="F157" s="522"/>
      <c r="G157" s="366" t="str">
        <f>+'11'!Q558</f>
        <v>04301L5760</v>
      </c>
      <c r="H157" s="366" t="str">
        <f>+'11'!R558</f>
        <v>300</v>
      </c>
      <c r="I157" s="363">
        <f>+'11'!O558</f>
        <v>10</v>
      </c>
      <c r="J157" s="363">
        <f>+'11'!P558</f>
        <v>3</v>
      </c>
      <c r="K157" s="523"/>
      <c r="L157" s="524"/>
      <c r="M157" s="361"/>
      <c r="N157" s="362"/>
      <c r="O157" s="365">
        <f>+'11'!U558</f>
        <v>3797.02</v>
      </c>
      <c r="P157" s="434">
        <f>+'11'!AG558</f>
        <v>0</v>
      </c>
      <c r="Q157" s="436">
        <f t="shared" si="2"/>
        <v>0</v>
      </c>
    </row>
    <row r="158" spans="2:17" ht="13.5" thickBot="1" x14ac:dyDescent="0.25">
      <c r="B158" s="521" t="str">
        <f>+'11'!B559:M559</f>
        <v>Социальные выплаты гражданам, кроме публичных нормативных социальных выплат</v>
      </c>
      <c r="C158" s="521"/>
      <c r="D158" s="521"/>
      <c r="E158" s="521"/>
      <c r="F158" s="522"/>
      <c r="G158" s="366" t="str">
        <f>+'11'!Q559</f>
        <v>04301L5760</v>
      </c>
      <c r="H158" s="366" t="str">
        <f>+'11'!R559</f>
        <v>320</v>
      </c>
      <c r="I158" s="363">
        <f>+'11'!O559</f>
        <v>10</v>
      </c>
      <c r="J158" s="363">
        <f>+'11'!P559</f>
        <v>3</v>
      </c>
      <c r="K158" s="523"/>
      <c r="L158" s="524"/>
      <c r="M158" s="361"/>
      <c r="N158" s="362"/>
      <c r="O158" s="365">
        <f>+'11'!U559</f>
        <v>3797.02</v>
      </c>
      <c r="P158" s="434">
        <f>+'11'!AG559</f>
        <v>0</v>
      </c>
      <c r="Q158" s="436">
        <f t="shared" si="2"/>
        <v>0</v>
      </c>
    </row>
    <row r="159" spans="2:17" ht="13.5" thickBot="1" x14ac:dyDescent="0.25">
      <c r="B159" s="521" t="str">
        <f>+'11'!B560:M560</f>
        <v>Субсидии гражданам на приобретение жилья</v>
      </c>
      <c r="C159" s="521"/>
      <c r="D159" s="521"/>
      <c r="E159" s="521"/>
      <c r="F159" s="522"/>
      <c r="G159" s="366" t="str">
        <f>+'11'!Q560</f>
        <v>04301L5760</v>
      </c>
      <c r="H159" s="366" t="str">
        <f>+'11'!R560</f>
        <v>322</v>
      </c>
      <c r="I159" s="363">
        <f>+'11'!O560</f>
        <v>10</v>
      </c>
      <c r="J159" s="363">
        <f>+'11'!P560</f>
        <v>3</v>
      </c>
      <c r="K159" s="523"/>
      <c r="L159" s="524"/>
      <c r="M159" s="361"/>
      <c r="N159" s="362"/>
      <c r="O159" s="365">
        <f>+'11'!U560</f>
        <v>3797.02</v>
      </c>
      <c r="P159" s="434">
        <f>+'11'!AG560</f>
        <v>0</v>
      </c>
      <c r="Q159" s="436">
        <f t="shared" si="2"/>
        <v>0</v>
      </c>
    </row>
    <row r="160" spans="2:17" s="419" customFormat="1" ht="13.5" thickBot="1" x14ac:dyDescent="0.25">
      <c r="B160" s="525" t="str">
        <f>+'11'!B573:M573</f>
        <v>Муниципальная программа "Совершенствование молодежной политики  и развитие физической культуры и спорта Овюрского кожууна на 2016-2018 годы"</v>
      </c>
      <c r="C160" s="525"/>
      <c r="D160" s="525"/>
      <c r="E160" s="525"/>
      <c r="F160" s="526"/>
      <c r="G160" s="420" t="str">
        <f>+'11'!Q573</f>
        <v>0500000000</v>
      </c>
      <c r="H160" s="421">
        <f>+'11'!R573</f>
        <v>0</v>
      </c>
      <c r="I160" s="421">
        <f>+'11'!O573</f>
        <v>11</v>
      </c>
      <c r="J160" s="421">
        <f>+'11'!P573</f>
        <v>5</v>
      </c>
      <c r="K160" s="527"/>
      <c r="L160" s="528"/>
      <c r="M160" s="422"/>
      <c r="N160" s="423"/>
      <c r="O160" s="424">
        <f>+O161+O166+O172</f>
        <v>1646.6</v>
      </c>
      <c r="P160" s="433">
        <f>+P161+P166+P172</f>
        <v>81</v>
      </c>
      <c r="Q160" s="435">
        <f t="shared" si="2"/>
        <v>4.9192274990890326</v>
      </c>
    </row>
    <row r="161" spans="2:17" ht="13.5" thickBot="1" x14ac:dyDescent="0.25">
      <c r="B161" s="521" t="str">
        <f>+'11'!B574:M574</f>
        <v>Подпрограмма "Молодежная политика Овюрского кожууна"</v>
      </c>
      <c r="C161" s="521"/>
      <c r="D161" s="521"/>
      <c r="E161" s="521"/>
      <c r="F161" s="522"/>
      <c r="G161" s="366" t="str">
        <f>+'11'!Q574</f>
        <v>0510000000</v>
      </c>
      <c r="H161" s="363">
        <f>+'11'!R574</f>
        <v>0</v>
      </c>
      <c r="I161" s="363">
        <f>+'11'!O574</f>
        <v>11</v>
      </c>
      <c r="J161" s="363">
        <f>+'11'!P574</f>
        <v>5</v>
      </c>
      <c r="K161" s="523"/>
      <c r="L161" s="524"/>
      <c r="M161" s="361"/>
      <c r="N161" s="362"/>
      <c r="O161" s="365">
        <f>+'11'!U574</f>
        <v>180</v>
      </c>
      <c r="P161" s="434">
        <f>+'11'!AG574</f>
        <v>0</v>
      </c>
      <c r="Q161" s="436">
        <f t="shared" si="2"/>
        <v>0</v>
      </c>
    </row>
    <row r="162" spans="2:17" ht="13.5" thickBot="1" x14ac:dyDescent="0.25">
      <c r="B162" s="521" t="str">
        <f>+'11'!B575:M575</f>
        <v>Мероприятия в области поддержки молодых талантов</v>
      </c>
      <c r="C162" s="521"/>
      <c r="D162" s="521"/>
      <c r="E162" s="521"/>
      <c r="F162" s="522"/>
      <c r="G162" s="366" t="str">
        <f>+'11'!Q575</f>
        <v>0510107020</v>
      </c>
      <c r="H162" s="363">
        <f>+'11'!R575</f>
        <v>0</v>
      </c>
      <c r="I162" s="363">
        <f>+'11'!O575</f>
        <v>11</v>
      </c>
      <c r="J162" s="363">
        <f>+'11'!P575</f>
        <v>5</v>
      </c>
      <c r="K162" s="523"/>
      <c r="L162" s="524"/>
      <c r="M162" s="361"/>
      <c r="N162" s="362"/>
      <c r="O162" s="365">
        <f>+'11'!U575</f>
        <v>180</v>
      </c>
      <c r="P162" s="434">
        <f>+'11'!AG575</f>
        <v>0</v>
      </c>
      <c r="Q162" s="436">
        <f t="shared" si="2"/>
        <v>0</v>
      </c>
    </row>
    <row r="163" spans="2:17" ht="13.5" thickBot="1" x14ac:dyDescent="0.25">
      <c r="B163" s="521" t="str">
        <f>+'11'!B576:M576</f>
        <v>Закупка товаров, работ и услуг для обеспечения государственных (муниципальных) нужд</v>
      </c>
      <c r="C163" s="521"/>
      <c r="D163" s="521"/>
      <c r="E163" s="521"/>
      <c r="F163" s="522"/>
      <c r="G163" s="366" t="str">
        <f>+'11'!Q576</f>
        <v>0510107020</v>
      </c>
      <c r="H163" s="363" t="str">
        <f>+'11'!R576</f>
        <v>200</v>
      </c>
      <c r="I163" s="363">
        <f>+'11'!O576</f>
        <v>11</v>
      </c>
      <c r="J163" s="363">
        <f>+'11'!P576</f>
        <v>5</v>
      </c>
      <c r="K163" s="523"/>
      <c r="L163" s="524"/>
      <c r="M163" s="361"/>
      <c r="N163" s="362"/>
      <c r="O163" s="365">
        <f>+'11'!U576</f>
        <v>180</v>
      </c>
      <c r="P163" s="434">
        <f>+'11'!AG576</f>
        <v>0</v>
      </c>
      <c r="Q163" s="436">
        <f t="shared" ref="Q163:Q226" si="3">P163/O163*100</f>
        <v>0</v>
      </c>
    </row>
    <row r="164" spans="2:17" ht="13.5" thickBot="1" x14ac:dyDescent="0.25">
      <c r="B164" s="521" t="str">
        <f>+'11'!B577:M577</f>
        <v>Иные закупки товаров, работ и услуг для обеспечения государственных (муниципальных) нужд</v>
      </c>
      <c r="C164" s="521"/>
      <c r="D164" s="521"/>
      <c r="E164" s="521"/>
      <c r="F164" s="522"/>
      <c r="G164" s="366" t="str">
        <f>+'11'!Q577</f>
        <v>0510107020</v>
      </c>
      <c r="H164" s="363" t="str">
        <f>+'11'!R577</f>
        <v>240</v>
      </c>
      <c r="I164" s="363">
        <f>+'11'!O577</f>
        <v>11</v>
      </c>
      <c r="J164" s="363">
        <f>+'11'!P577</f>
        <v>5</v>
      </c>
      <c r="K164" s="523"/>
      <c r="L164" s="524"/>
      <c r="M164" s="361"/>
      <c r="N164" s="362"/>
      <c r="O164" s="365">
        <f>+'11'!U577</f>
        <v>180</v>
      </c>
      <c r="P164" s="434">
        <f>+'11'!AG577</f>
        <v>0</v>
      </c>
      <c r="Q164" s="436">
        <f t="shared" si="3"/>
        <v>0</v>
      </c>
    </row>
    <row r="165" spans="2:17" ht="13.5" thickBot="1" x14ac:dyDescent="0.25">
      <c r="B165" s="521" t="str">
        <f>+'11'!B578:M578</f>
        <v>Прочая закупка товаров, работ и услуг</v>
      </c>
      <c r="C165" s="521"/>
      <c r="D165" s="521"/>
      <c r="E165" s="521"/>
      <c r="F165" s="522"/>
      <c r="G165" s="366" t="str">
        <f>+'11'!Q578</f>
        <v>0510107020</v>
      </c>
      <c r="H165" s="363" t="str">
        <f>+'11'!R578</f>
        <v>244</v>
      </c>
      <c r="I165" s="363">
        <f>+'11'!O578</f>
        <v>11</v>
      </c>
      <c r="J165" s="363">
        <f>+'11'!P578</f>
        <v>5</v>
      </c>
      <c r="K165" s="523"/>
      <c r="L165" s="524"/>
      <c r="M165" s="361"/>
      <c r="N165" s="362"/>
      <c r="O165" s="365">
        <f>+'11'!U578</f>
        <v>180</v>
      </c>
      <c r="P165" s="434">
        <f>+'11'!AG578</f>
        <v>0</v>
      </c>
      <c r="Q165" s="436">
        <f t="shared" si="3"/>
        <v>0</v>
      </c>
    </row>
    <row r="166" spans="2:17" ht="13.5" thickBot="1" x14ac:dyDescent="0.25">
      <c r="B166" s="521" t="str">
        <f>+'11'!B579:M579</f>
        <v>Муниципальная программа "Совершенствование молодежной политики  и развитие физической культуры и спорта Овюрского кожууна на 2016-2018 годы"</v>
      </c>
      <c r="C166" s="521"/>
      <c r="D166" s="521"/>
      <c r="E166" s="521"/>
      <c r="F166" s="522"/>
      <c r="G166" s="366" t="str">
        <f>+'11'!Q579</f>
        <v>0500000000</v>
      </c>
      <c r="H166" s="363">
        <f>+'11'!R579</f>
        <v>0</v>
      </c>
      <c r="I166" s="363">
        <f>+'11'!O579</f>
        <v>11</v>
      </c>
      <c r="J166" s="363">
        <f>+'11'!P579</f>
        <v>5</v>
      </c>
      <c r="K166" s="523"/>
      <c r="L166" s="524"/>
      <c r="M166" s="361"/>
      <c r="N166" s="362"/>
      <c r="O166" s="365">
        <f>+'11'!U579</f>
        <v>220</v>
      </c>
      <c r="P166" s="434">
        <f>+'11'!AG579</f>
        <v>81</v>
      </c>
      <c r="Q166" s="436">
        <f t="shared" si="3"/>
        <v>36.818181818181813</v>
      </c>
    </row>
    <row r="167" spans="2:17" ht="13.5" thickBot="1" x14ac:dyDescent="0.25">
      <c r="B167" s="521" t="str">
        <f>+'11'!B580:M580</f>
        <v>подпрограмма "Развитие физической культуры и спорта"</v>
      </c>
      <c r="C167" s="521"/>
      <c r="D167" s="521"/>
      <c r="E167" s="521"/>
      <c r="F167" s="522"/>
      <c r="G167" s="366" t="str">
        <f>+'11'!Q580</f>
        <v>0520000000</v>
      </c>
      <c r="H167" s="363">
        <f>+'11'!R580</f>
        <v>0</v>
      </c>
      <c r="I167" s="363">
        <f>+'11'!O580</f>
        <v>11</v>
      </c>
      <c r="J167" s="363">
        <f>+'11'!P580</f>
        <v>5</v>
      </c>
      <c r="K167" s="523"/>
      <c r="L167" s="524"/>
      <c r="M167" s="361"/>
      <c r="N167" s="362"/>
      <c r="O167" s="365">
        <f>+'11'!U580</f>
        <v>220</v>
      </c>
      <c r="P167" s="434">
        <f>+'11'!AG580</f>
        <v>81</v>
      </c>
      <c r="Q167" s="436">
        <f t="shared" si="3"/>
        <v>36.818181818181813</v>
      </c>
    </row>
    <row r="168" spans="2:17" ht="13.5" thickBot="1" x14ac:dyDescent="0.25">
      <c r="B168" s="521" t="str">
        <f>+'11'!B581:M581</f>
        <v>Мероприятия в области поддержки молодых талантов</v>
      </c>
      <c r="C168" s="521"/>
      <c r="D168" s="521"/>
      <c r="E168" s="521"/>
      <c r="F168" s="522"/>
      <c r="G168" s="366" t="str">
        <f>+'11'!Q581</f>
        <v>0520107250</v>
      </c>
      <c r="H168" s="363">
        <f>+'11'!R581</f>
        <v>0</v>
      </c>
      <c r="I168" s="363">
        <f>+'11'!O581</f>
        <v>11</v>
      </c>
      <c r="J168" s="363">
        <f>+'11'!P581</f>
        <v>5</v>
      </c>
      <c r="K168" s="523"/>
      <c r="L168" s="524"/>
      <c r="M168" s="361"/>
      <c r="N168" s="362"/>
      <c r="O168" s="365">
        <f>+'11'!U581</f>
        <v>220</v>
      </c>
      <c r="P168" s="434">
        <f>+'11'!AG581</f>
        <v>81</v>
      </c>
      <c r="Q168" s="436">
        <f t="shared" si="3"/>
        <v>36.818181818181813</v>
      </c>
    </row>
    <row r="169" spans="2:17" ht="13.5" thickBot="1" x14ac:dyDescent="0.25">
      <c r="B169" s="521" t="str">
        <f>+'11'!B582:M582</f>
        <v>Закупка товаров, работ и услуг для обеспечения государственных (муниципальных) нужд</v>
      </c>
      <c r="C169" s="521"/>
      <c r="D169" s="521"/>
      <c r="E169" s="521"/>
      <c r="F169" s="522"/>
      <c r="G169" s="366" t="str">
        <f>+'11'!Q582</f>
        <v>0520107250</v>
      </c>
      <c r="H169" s="363" t="str">
        <f>+'11'!R582</f>
        <v>200</v>
      </c>
      <c r="I169" s="363">
        <f>+'11'!O582</f>
        <v>11</v>
      </c>
      <c r="J169" s="363">
        <f>+'11'!P582</f>
        <v>5</v>
      </c>
      <c r="K169" s="523"/>
      <c r="L169" s="524"/>
      <c r="M169" s="361"/>
      <c r="N169" s="362"/>
      <c r="O169" s="365">
        <f>+'11'!U582</f>
        <v>220</v>
      </c>
      <c r="P169" s="434">
        <f>+'11'!AG582</f>
        <v>81</v>
      </c>
      <c r="Q169" s="436">
        <f t="shared" si="3"/>
        <v>36.818181818181813</v>
      </c>
    </row>
    <row r="170" spans="2:17" ht="13.5" thickBot="1" x14ac:dyDescent="0.25">
      <c r="B170" s="521" t="str">
        <f>+'11'!B583:M583</f>
        <v>Иные закупки товаров, работ и услуг для обеспечения государственных (муниципальных) нужд</v>
      </c>
      <c r="C170" s="521"/>
      <c r="D170" s="521"/>
      <c r="E170" s="521"/>
      <c r="F170" s="522"/>
      <c r="G170" s="366" t="str">
        <f>+'11'!Q583</f>
        <v>0520107250</v>
      </c>
      <c r="H170" s="363" t="str">
        <f>+'11'!R583</f>
        <v>240</v>
      </c>
      <c r="I170" s="363">
        <f>+'11'!O583</f>
        <v>11</v>
      </c>
      <c r="J170" s="363">
        <f>+'11'!P583</f>
        <v>5</v>
      </c>
      <c r="K170" s="523"/>
      <c r="L170" s="524"/>
      <c r="M170" s="361"/>
      <c r="N170" s="362"/>
      <c r="O170" s="365">
        <f>+'11'!U583</f>
        <v>220</v>
      </c>
      <c r="P170" s="434">
        <f>+'11'!AG583</f>
        <v>81</v>
      </c>
      <c r="Q170" s="436">
        <f t="shared" si="3"/>
        <v>36.818181818181813</v>
      </c>
    </row>
    <row r="171" spans="2:17" ht="13.5" thickBot="1" x14ac:dyDescent="0.25">
      <c r="B171" s="521" t="str">
        <f>+'11'!B584:M584</f>
        <v>Прочая закупка товаров, работ и услуг</v>
      </c>
      <c r="C171" s="521"/>
      <c r="D171" s="521"/>
      <c r="E171" s="521"/>
      <c r="F171" s="522"/>
      <c r="G171" s="366" t="str">
        <f>+'11'!Q584</f>
        <v>0520107250</v>
      </c>
      <c r="H171" s="363" t="str">
        <f>+'11'!R584</f>
        <v>244</v>
      </c>
      <c r="I171" s="363">
        <f>+'11'!O584</f>
        <v>11</v>
      </c>
      <c r="J171" s="363">
        <f>+'11'!P584</f>
        <v>5</v>
      </c>
      <c r="K171" s="523"/>
      <c r="L171" s="524"/>
      <c r="M171" s="361"/>
      <c r="N171" s="362"/>
      <c r="O171" s="365">
        <f>+'11'!U584</f>
        <v>220</v>
      </c>
      <c r="P171" s="434">
        <f>+'11'!AG584</f>
        <v>81</v>
      </c>
      <c r="Q171" s="436">
        <f t="shared" si="3"/>
        <v>36.818181818181813</v>
      </c>
    </row>
    <row r="172" spans="2:17" ht="13.5" thickBot="1" x14ac:dyDescent="0.25">
      <c r="B172" s="521" t="str">
        <f>+'11'!B563:M563</f>
        <v>"Обеспечение жильем молодых семей"</v>
      </c>
      <c r="C172" s="521"/>
      <c r="D172" s="521"/>
      <c r="E172" s="521"/>
      <c r="F172" s="522"/>
      <c r="G172" s="366" t="str">
        <f>+'11'!Q563</f>
        <v>05201L4970</v>
      </c>
      <c r="H172" s="363">
        <f>+'11'!R563</f>
        <v>0</v>
      </c>
      <c r="I172" s="363">
        <f>+'11'!O563</f>
        <v>10</v>
      </c>
      <c r="J172" s="363">
        <f>+'11'!P563</f>
        <v>3</v>
      </c>
      <c r="K172" s="523"/>
      <c r="L172" s="524"/>
      <c r="M172" s="361"/>
      <c r="N172" s="362"/>
      <c r="O172" s="365">
        <f>+'11'!U563</f>
        <v>1246.5999999999999</v>
      </c>
      <c r="P172" s="434">
        <f>+'11'!AG563</f>
        <v>0</v>
      </c>
      <c r="Q172" s="436">
        <f t="shared" si="3"/>
        <v>0</v>
      </c>
    </row>
    <row r="173" spans="2:17" ht="13.5" thickBot="1" x14ac:dyDescent="0.25">
      <c r="B173" s="521" t="str">
        <f>+'11'!B564:M564</f>
        <v>Социальное обеспечение и иные выплаты населению</v>
      </c>
      <c r="C173" s="521"/>
      <c r="D173" s="521"/>
      <c r="E173" s="521"/>
      <c r="F173" s="522"/>
      <c r="G173" s="366" t="str">
        <f>+'11'!Q564</f>
        <v>05201L4970</v>
      </c>
      <c r="H173" s="363" t="str">
        <f>+'11'!R564</f>
        <v>300</v>
      </c>
      <c r="I173" s="363">
        <f>+'11'!O564</f>
        <v>10</v>
      </c>
      <c r="J173" s="363">
        <f>+'11'!P564</f>
        <v>3</v>
      </c>
      <c r="K173" s="523"/>
      <c r="L173" s="524"/>
      <c r="M173" s="361"/>
      <c r="N173" s="362"/>
      <c r="O173" s="365">
        <f>+'11'!U564</f>
        <v>1246.5999999999999</v>
      </c>
      <c r="P173" s="434">
        <f>+'11'!AG564</f>
        <v>0</v>
      </c>
      <c r="Q173" s="436">
        <f t="shared" si="3"/>
        <v>0</v>
      </c>
    </row>
    <row r="174" spans="2:17" ht="13.5" thickBot="1" x14ac:dyDescent="0.25">
      <c r="B174" s="521" t="str">
        <f>+'11'!B565:M565</f>
        <v>Социальные выплаты гражданам, кроме публичных нормативных социальных выплат</v>
      </c>
      <c r="C174" s="521"/>
      <c r="D174" s="521"/>
      <c r="E174" s="521"/>
      <c r="F174" s="522"/>
      <c r="G174" s="366" t="str">
        <f>+'11'!Q565</f>
        <v>05201L4970</v>
      </c>
      <c r="H174" s="363" t="str">
        <f>+'11'!R565</f>
        <v>320</v>
      </c>
      <c r="I174" s="363">
        <f>+'11'!O565</f>
        <v>10</v>
      </c>
      <c r="J174" s="363">
        <f>+'11'!P565</f>
        <v>3</v>
      </c>
      <c r="K174" s="523"/>
      <c r="L174" s="524"/>
      <c r="M174" s="361"/>
      <c r="N174" s="362"/>
      <c r="O174" s="365">
        <f>+'11'!U565</f>
        <v>1246.5999999999999</v>
      </c>
      <c r="P174" s="434">
        <f>+'11'!AG565</f>
        <v>0</v>
      </c>
      <c r="Q174" s="436">
        <f t="shared" si="3"/>
        <v>0</v>
      </c>
    </row>
    <row r="175" spans="2:17" ht="13.5" thickBot="1" x14ac:dyDescent="0.25">
      <c r="B175" s="521" t="str">
        <f>+'11'!B566:M566</f>
        <v>Субсидии гражданам на приобретение жилья</v>
      </c>
      <c r="C175" s="521"/>
      <c r="D175" s="521"/>
      <c r="E175" s="521"/>
      <c r="F175" s="522"/>
      <c r="G175" s="366" t="str">
        <f>+'11'!Q566</f>
        <v>05201L4970</v>
      </c>
      <c r="H175" s="363" t="str">
        <f>+'11'!R566</f>
        <v>322</v>
      </c>
      <c r="I175" s="363">
        <f>+'11'!O566</f>
        <v>10</v>
      </c>
      <c r="J175" s="363">
        <f>+'11'!P566</f>
        <v>3</v>
      </c>
      <c r="K175" s="523"/>
      <c r="L175" s="524"/>
      <c r="M175" s="361"/>
      <c r="N175" s="362"/>
      <c r="O175" s="365">
        <f>+'11'!U566</f>
        <v>1246.5999999999999</v>
      </c>
      <c r="P175" s="434">
        <f>+'11'!AG566</f>
        <v>0</v>
      </c>
      <c r="Q175" s="436">
        <f t="shared" si="3"/>
        <v>0</v>
      </c>
    </row>
    <row r="176" spans="2:17" s="419" customFormat="1" ht="13.5" thickBot="1" x14ac:dyDescent="0.25">
      <c r="B176" s="525" t="str">
        <f>+'11'!B542:M542</f>
        <v>Муниципальная программа "Профилактика социально-значимых заболеваний, вакцинопрофилактика в Овюрском кожууне на 2016-2018 годы"</v>
      </c>
      <c r="C176" s="525"/>
      <c r="D176" s="525"/>
      <c r="E176" s="525"/>
      <c r="F176" s="526"/>
      <c r="G176" s="420" t="str">
        <f>+'11'!Q542</f>
        <v>0600000000</v>
      </c>
      <c r="H176" s="421">
        <f>+'11'!R542</f>
        <v>0</v>
      </c>
      <c r="I176" s="421">
        <f>+'11'!O542</f>
        <v>9</v>
      </c>
      <c r="J176" s="421">
        <f>+'11'!P542</f>
        <v>9</v>
      </c>
      <c r="K176" s="527"/>
      <c r="L176" s="528"/>
      <c r="M176" s="422"/>
      <c r="N176" s="423"/>
      <c r="O176" s="424">
        <f>+'11'!U542</f>
        <v>226</v>
      </c>
      <c r="P176" s="433">
        <f>+'11'!AG542</f>
        <v>19.899999999999999</v>
      </c>
      <c r="Q176" s="435">
        <f t="shared" si="3"/>
        <v>8.8053097345132745</v>
      </c>
    </row>
    <row r="177" spans="2:17" ht="13.5" thickBot="1" x14ac:dyDescent="0.25">
      <c r="B177" s="521" t="str">
        <f>+'11'!B543:M543</f>
        <v>Реализация мероприятий направленных на создание условий для оказания медицинской помощи населению, профилактика заболеваний и формирование здорового образа жизни</v>
      </c>
      <c r="C177" s="521"/>
      <c r="D177" s="521"/>
      <c r="E177" s="521"/>
      <c r="F177" s="522"/>
      <c r="G177" s="366" t="str">
        <f>+'11'!Q543</f>
        <v>0600104008</v>
      </c>
      <c r="H177" s="363">
        <f>+'11'!R543</f>
        <v>0</v>
      </c>
      <c r="I177" s="363">
        <f>+'11'!O543</f>
        <v>9</v>
      </c>
      <c r="J177" s="363">
        <f>+'11'!P543</f>
        <v>9</v>
      </c>
      <c r="K177" s="523"/>
      <c r="L177" s="524"/>
      <c r="M177" s="361"/>
      <c r="N177" s="362"/>
      <c r="O177" s="365">
        <f>+'11'!U543</f>
        <v>226</v>
      </c>
      <c r="P177" s="434">
        <f>+'11'!AG543</f>
        <v>19.899999999999999</v>
      </c>
      <c r="Q177" s="436">
        <f t="shared" si="3"/>
        <v>8.8053097345132745</v>
      </c>
    </row>
    <row r="178" spans="2:17" ht="13.5" thickBot="1" x14ac:dyDescent="0.25">
      <c r="B178" s="521" t="str">
        <f>+'11'!B544:M544</f>
        <v>Закупка товаров, работ и услуг для обеспечения государственных (муниципальных) нужд</v>
      </c>
      <c r="C178" s="521"/>
      <c r="D178" s="521"/>
      <c r="E178" s="521"/>
      <c r="F178" s="522"/>
      <c r="G178" s="366" t="str">
        <f>+'11'!Q544</f>
        <v>0600104008</v>
      </c>
      <c r="H178" s="363" t="str">
        <f>+'11'!R544</f>
        <v>200</v>
      </c>
      <c r="I178" s="363">
        <f>+'11'!O544</f>
        <v>9</v>
      </c>
      <c r="J178" s="363">
        <f>+'11'!P544</f>
        <v>9</v>
      </c>
      <c r="K178" s="523"/>
      <c r="L178" s="524"/>
      <c r="M178" s="361"/>
      <c r="N178" s="362"/>
      <c r="O178" s="365">
        <f>+'11'!U544</f>
        <v>226</v>
      </c>
      <c r="P178" s="434">
        <f>+'11'!AG544</f>
        <v>19.899999999999999</v>
      </c>
      <c r="Q178" s="436">
        <f t="shared" si="3"/>
        <v>8.8053097345132745</v>
      </c>
    </row>
    <row r="179" spans="2:17" ht="13.5" thickBot="1" x14ac:dyDescent="0.25">
      <c r="B179" s="521" t="str">
        <f>+'11'!B545:M545</f>
        <v>Иные закупки товаров, работ и услуг для обеспечения государственных (муниципальных) нужд</v>
      </c>
      <c r="C179" s="521"/>
      <c r="D179" s="521"/>
      <c r="E179" s="521"/>
      <c r="F179" s="522"/>
      <c r="G179" s="366" t="str">
        <f>+'11'!Q545</f>
        <v>0600104008</v>
      </c>
      <c r="H179" s="363" t="str">
        <f>+'11'!R545</f>
        <v>240</v>
      </c>
      <c r="I179" s="363">
        <f>+'11'!O545</f>
        <v>9</v>
      </c>
      <c r="J179" s="363">
        <f>+'11'!P545</f>
        <v>9</v>
      </c>
      <c r="K179" s="523"/>
      <c r="L179" s="524"/>
      <c r="M179" s="361"/>
      <c r="N179" s="362"/>
      <c r="O179" s="365">
        <f>+'11'!U545</f>
        <v>226</v>
      </c>
      <c r="P179" s="434">
        <f>+'11'!AG545</f>
        <v>19.899999999999999</v>
      </c>
      <c r="Q179" s="436">
        <f t="shared" si="3"/>
        <v>8.8053097345132745</v>
      </c>
    </row>
    <row r="180" spans="2:17" ht="13.5" thickBot="1" x14ac:dyDescent="0.25">
      <c r="B180" s="521" t="str">
        <f>+'11'!B546:M546</f>
        <v>Прочая закупка товаров, работ и услуг</v>
      </c>
      <c r="C180" s="521"/>
      <c r="D180" s="521"/>
      <c r="E180" s="521"/>
      <c r="F180" s="522"/>
      <c r="G180" s="366" t="str">
        <f>+'11'!Q546</f>
        <v>0600104008</v>
      </c>
      <c r="H180" s="363" t="str">
        <f>+'11'!R546</f>
        <v>244</v>
      </c>
      <c r="I180" s="363">
        <f>+'11'!O546</f>
        <v>9</v>
      </c>
      <c r="J180" s="363">
        <f>+'11'!P546</f>
        <v>9</v>
      </c>
      <c r="K180" s="523"/>
      <c r="L180" s="524"/>
      <c r="M180" s="361"/>
      <c r="N180" s="362"/>
      <c r="O180" s="365">
        <f>+'11'!U546</f>
        <v>226</v>
      </c>
      <c r="P180" s="434">
        <f>+'11'!AG546</f>
        <v>19.899999999999999</v>
      </c>
      <c r="Q180" s="436">
        <f t="shared" si="3"/>
        <v>8.8053097345132745</v>
      </c>
    </row>
    <row r="181" spans="2:17" s="419" customFormat="1" ht="26.25" customHeight="1" thickBot="1" x14ac:dyDescent="0.25">
      <c r="B181" s="525" t="s">
        <v>431</v>
      </c>
      <c r="C181" s="525"/>
      <c r="D181" s="525"/>
      <c r="E181" s="525"/>
      <c r="F181" s="526"/>
      <c r="G181" s="420">
        <f>+'11'!Q242</f>
        <v>0</v>
      </c>
      <c r="H181" s="421">
        <f>+'11'!R242</f>
        <v>0</v>
      </c>
      <c r="I181" s="421">
        <f>+'11'!O242</f>
        <v>0</v>
      </c>
      <c r="J181" s="421">
        <f>+'11'!P242</f>
        <v>0</v>
      </c>
      <c r="K181" s="527"/>
      <c r="L181" s="528"/>
      <c r="M181" s="422"/>
      <c r="N181" s="423"/>
      <c r="O181" s="424">
        <f>+'11'!U242+14653</f>
        <v>348404.75400000002</v>
      </c>
      <c r="P181" s="433">
        <f>+'11'!AG242+3238.5</f>
        <v>88447.700899999982</v>
      </c>
      <c r="Q181" s="435">
        <f t="shared" si="3"/>
        <v>25.38647934178303</v>
      </c>
    </row>
    <row r="182" spans="2:17" ht="13.5" thickBot="1" x14ac:dyDescent="0.25">
      <c r="B182" s="521" t="str">
        <f>+'11'!B243:M243</f>
        <v>ОБРАЗОВАНИЕ</v>
      </c>
      <c r="C182" s="521"/>
      <c r="D182" s="521"/>
      <c r="E182" s="521"/>
      <c r="F182" s="522"/>
      <c r="G182" s="366">
        <f>+'11'!Q243</f>
        <v>0</v>
      </c>
      <c r="H182" s="363">
        <f>+'11'!R243</f>
        <v>0</v>
      </c>
      <c r="I182" s="363">
        <f>+'11'!O243</f>
        <v>7</v>
      </c>
      <c r="J182" s="363">
        <f>+'11'!P243</f>
        <v>0</v>
      </c>
      <c r="K182" s="523"/>
      <c r="L182" s="524"/>
      <c r="M182" s="361"/>
      <c r="N182" s="362"/>
      <c r="O182" s="365">
        <f>+'11'!U243</f>
        <v>329008.25400000002</v>
      </c>
      <c r="P182" s="433">
        <f>+'11'!AG243</f>
        <v>84430.109899999981</v>
      </c>
      <c r="Q182" s="436">
        <f t="shared" si="3"/>
        <v>25.662003573928565</v>
      </c>
    </row>
    <row r="183" spans="2:17" ht="13.5" thickBot="1" x14ac:dyDescent="0.25">
      <c r="B183" s="521" t="str">
        <f>+'11'!B244:M244</f>
        <v>Дошкольное образование</v>
      </c>
      <c r="C183" s="521"/>
      <c r="D183" s="521"/>
      <c r="E183" s="521"/>
      <c r="F183" s="522"/>
      <c r="G183" s="366">
        <f>+'11'!Q244</f>
        <v>0</v>
      </c>
      <c r="H183" s="363">
        <f>+'11'!R244</f>
        <v>0</v>
      </c>
      <c r="I183" s="363">
        <f>+'11'!O244</f>
        <v>7</v>
      </c>
      <c r="J183" s="363">
        <f>+'11'!P244</f>
        <v>1</v>
      </c>
      <c r="K183" s="523"/>
      <c r="L183" s="524"/>
      <c r="M183" s="361"/>
      <c r="N183" s="362"/>
      <c r="O183" s="365">
        <f>+'11'!U244</f>
        <v>106756.946</v>
      </c>
      <c r="P183" s="433">
        <f>+'11'!AG244</f>
        <v>28791.615859999998</v>
      </c>
      <c r="Q183" s="436">
        <f t="shared" si="3"/>
        <v>26.969313884269415</v>
      </c>
    </row>
    <row r="184" spans="2:17" ht="13.5" thickBot="1" x14ac:dyDescent="0.25">
      <c r="B184" s="521" t="str">
        <f>+'11'!B245:M245</f>
        <v xml:space="preserve">Муниципальная программа "Развитие образования Овюрского кожууна </v>
      </c>
      <c r="C184" s="521"/>
      <c r="D184" s="521"/>
      <c r="E184" s="521"/>
      <c r="F184" s="522"/>
      <c r="G184" s="366" t="str">
        <f>+'11'!Q245</f>
        <v>0700000000</v>
      </c>
      <c r="H184" s="363">
        <f>+'11'!R245</f>
        <v>0</v>
      </c>
      <c r="I184" s="363">
        <f>+'11'!O245</f>
        <v>7</v>
      </c>
      <c r="J184" s="363">
        <f>+'11'!P245</f>
        <v>1</v>
      </c>
      <c r="K184" s="523"/>
      <c r="L184" s="524"/>
      <c r="M184" s="361"/>
      <c r="N184" s="362"/>
      <c r="O184" s="365">
        <f>+'11'!U245</f>
        <v>42367.546000000002</v>
      </c>
      <c r="P184" s="433">
        <f>+'11'!AG245</f>
        <v>11908.479020000001</v>
      </c>
      <c r="Q184" s="436">
        <f t="shared" si="3"/>
        <v>28.107549632447444</v>
      </c>
    </row>
    <row r="185" spans="2:17" ht="13.5" thickBot="1" x14ac:dyDescent="0.25">
      <c r="B185" s="521" t="str">
        <f>+'11'!B246:M246</f>
        <v>подпрограмма "Развитие дошкольного образования"</v>
      </c>
      <c r="C185" s="521"/>
      <c r="D185" s="521"/>
      <c r="E185" s="521"/>
      <c r="F185" s="522"/>
      <c r="G185" s="366" t="str">
        <f>+'11'!Q246</f>
        <v>0710000000</v>
      </c>
      <c r="H185" s="363">
        <f>+'11'!R246</f>
        <v>0</v>
      </c>
      <c r="I185" s="363">
        <f>+'11'!O246</f>
        <v>7</v>
      </c>
      <c r="J185" s="363">
        <f>+'11'!P246</f>
        <v>1</v>
      </c>
      <c r="K185" s="523"/>
      <c r="L185" s="524"/>
      <c r="M185" s="361"/>
      <c r="N185" s="362"/>
      <c r="O185" s="365">
        <f>+'11'!U246</f>
        <v>42367.546000000002</v>
      </c>
      <c r="P185" s="433">
        <f>+'11'!AG246</f>
        <v>11908.479020000001</v>
      </c>
      <c r="Q185" s="436">
        <f t="shared" si="3"/>
        <v>28.107549632447444</v>
      </c>
    </row>
    <row r="186" spans="2:17" ht="13.5" thickBot="1" x14ac:dyDescent="0.25">
      <c r="B186" s="521" t="str">
        <f>+'11'!B247:M247</f>
        <v xml:space="preserve">Обеспечение деятельности муниципальных учреждений (оказание услуг) - средства местного бюджета </v>
      </c>
      <c r="C186" s="521"/>
      <c r="D186" s="521"/>
      <c r="E186" s="521"/>
      <c r="F186" s="522"/>
      <c r="G186" s="366" t="str">
        <f>+'11'!Q247</f>
        <v>0710100059</v>
      </c>
      <c r="H186" s="363">
        <f>+'11'!R247</f>
        <v>0</v>
      </c>
      <c r="I186" s="363">
        <f>+'11'!O247</f>
        <v>7</v>
      </c>
      <c r="J186" s="363">
        <f>+'11'!P247</f>
        <v>1</v>
      </c>
      <c r="K186" s="523"/>
      <c r="L186" s="524"/>
      <c r="M186" s="361"/>
      <c r="N186" s="362"/>
      <c r="O186" s="365">
        <f>+'11'!U247</f>
        <v>42367.546000000002</v>
      </c>
      <c r="P186" s="433">
        <f>+'11'!AG247</f>
        <v>11908.479020000001</v>
      </c>
      <c r="Q186" s="436">
        <f t="shared" si="3"/>
        <v>28.107549632447444</v>
      </c>
    </row>
    <row r="187" spans="2:17" ht="13.5" thickBot="1" x14ac:dyDescent="0.25">
      <c r="B187" s="521" t="str">
        <f>+'11'!B248:M248</f>
        <v>Предоставление субсидий бюджетным, автономным учреждениям и иным некоммерческим организациям</v>
      </c>
      <c r="C187" s="521"/>
      <c r="D187" s="521"/>
      <c r="E187" s="521"/>
      <c r="F187" s="522"/>
      <c r="G187" s="366" t="str">
        <f>+'11'!Q248</f>
        <v>0710100059</v>
      </c>
      <c r="H187" s="363" t="str">
        <f>+'11'!R248</f>
        <v>600</v>
      </c>
      <c r="I187" s="363">
        <f>+'11'!O248</f>
        <v>7</v>
      </c>
      <c r="J187" s="363">
        <f>+'11'!P248</f>
        <v>1</v>
      </c>
      <c r="K187" s="523"/>
      <c r="L187" s="524"/>
      <c r="M187" s="361"/>
      <c r="N187" s="362"/>
      <c r="O187" s="365">
        <f>+'11'!U248</f>
        <v>42367.546000000002</v>
      </c>
      <c r="P187" s="433">
        <f>+'11'!AG248</f>
        <v>11908.479020000001</v>
      </c>
      <c r="Q187" s="436">
        <f t="shared" si="3"/>
        <v>28.107549632447444</v>
      </c>
    </row>
    <row r="188" spans="2:17" ht="13.5" thickBot="1" x14ac:dyDescent="0.25">
      <c r="B188" s="521" t="str">
        <f>+'11'!B249:M249</f>
        <v>Субсидии бюджетным учреждениям</v>
      </c>
      <c r="C188" s="521"/>
      <c r="D188" s="521"/>
      <c r="E188" s="521"/>
      <c r="F188" s="522"/>
      <c r="G188" s="366" t="str">
        <f>+'11'!Q249</f>
        <v>0710100059</v>
      </c>
      <c r="H188" s="363" t="str">
        <f>+'11'!R249</f>
        <v>610</v>
      </c>
      <c r="I188" s="363">
        <f>+'11'!O249</f>
        <v>7</v>
      </c>
      <c r="J188" s="363">
        <f>+'11'!P249</f>
        <v>1</v>
      </c>
      <c r="K188" s="523"/>
      <c r="L188" s="524"/>
      <c r="M188" s="361"/>
      <c r="N188" s="362"/>
      <c r="O188" s="365">
        <f>+'11'!U249</f>
        <v>42367.546000000002</v>
      </c>
      <c r="P188" s="433">
        <f>+'11'!AG249</f>
        <v>11908.479020000001</v>
      </c>
      <c r="Q188" s="436">
        <f t="shared" si="3"/>
        <v>28.107549632447444</v>
      </c>
    </row>
    <row r="189" spans="2:17" ht="13.5" thickBot="1" x14ac:dyDescent="0.25">
      <c r="B189" s="521" t="str">
        <f>+'11'!B250:M250</f>
        <v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v>
      </c>
      <c r="C189" s="521"/>
      <c r="D189" s="521"/>
      <c r="E189" s="521"/>
      <c r="F189" s="522"/>
      <c r="G189" s="366" t="str">
        <f>+'11'!Q250</f>
        <v>0710100059</v>
      </c>
      <c r="H189" s="363" t="str">
        <f>+'11'!R250</f>
        <v>611</v>
      </c>
      <c r="I189" s="363">
        <f>+'11'!O250</f>
        <v>7</v>
      </c>
      <c r="J189" s="363">
        <f>+'11'!P250</f>
        <v>1</v>
      </c>
      <c r="K189" s="523"/>
      <c r="L189" s="524"/>
      <c r="M189" s="361"/>
      <c r="N189" s="362"/>
      <c r="O189" s="365">
        <f>+'11'!U250</f>
        <v>42367.546000000002</v>
      </c>
      <c r="P189" s="433">
        <f>+'11'!AG250</f>
        <v>11908.479020000001</v>
      </c>
      <c r="Q189" s="436">
        <f t="shared" si="3"/>
        <v>28.107549632447444</v>
      </c>
    </row>
    <row r="190" spans="2:17" ht="13.5" thickBot="1" x14ac:dyDescent="0.25">
      <c r="B190" s="521" t="str">
        <f>+'11'!B251:M251</f>
        <v xml:space="preserve">Муниципальная программа "Развитие образования Овюрского кожууна </v>
      </c>
      <c r="C190" s="521"/>
      <c r="D190" s="521"/>
      <c r="E190" s="521"/>
      <c r="F190" s="522"/>
      <c r="G190" s="366" t="str">
        <f>+'11'!Q251</f>
        <v>0700000000</v>
      </c>
      <c r="H190" s="363">
        <f>+'11'!R251</f>
        <v>0</v>
      </c>
      <c r="I190" s="363">
        <f>+'11'!O251</f>
        <v>7</v>
      </c>
      <c r="J190" s="363">
        <f>+'11'!P251</f>
        <v>1</v>
      </c>
      <c r="K190" s="523"/>
      <c r="L190" s="524"/>
      <c r="M190" s="361"/>
      <c r="N190" s="362"/>
      <c r="O190" s="365">
        <f>+'11'!U251</f>
        <v>64389.4</v>
      </c>
      <c r="P190" s="433">
        <f>+'11'!AG251</f>
        <v>16883.136839999999</v>
      </c>
      <c r="Q190" s="436">
        <f t="shared" si="3"/>
        <v>26.220366768443252</v>
      </c>
    </row>
    <row r="191" spans="2:17" ht="13.5" thickBot="1" x14ac:dyDescent="0.25">
      <c r="B191" s="521" t="str">
        <f>+'11'!B252:M252</f>
        <v>подпрограмма "Развитие дошкольного образования"</v>
      </c>
      <c r="C191" s="521"/>
      <c r="D191" s="521"/>
      <c r="E191" s="521"/>
      <c r="F191" s="522"/>
      <c r="G191" s="366" t="str">
        <f>+'11'!Q252</f>
        <v>0710000000</v>
      </c>
      <c r="H191" s="363">
        <f>+'11'!R252</f>
        <v>0</v>
      </c>
      <c r="I191" s="363">
        <f>+'11'!O252</f>
        <v>7</v>
      </c>
      <c r="J191" s="363">
        <f>+'11'!P252</f>
        <v>1</v>
      </c>
      <c r="K191" s="523"/>
      <c r="L191" s="524"/>
      <c r="M191" s="361"/>
      <c r="N191" s="362"/>
      <c r="O191" s="365">
        <f>+'11'!U252</f>
        <v>64389.4</v>
      </c>
      <c r="P191" s="433">
        <f>+'11'!AG252</f>
        <v>16883.136839999999</v>
      </c>
      <c r="Q191" s="436">
        <f t="shared" si="3"/>
        <v>26.220366768443252</v>
      </c>
    </row>
    <row r="192" spans="2:17" ht="13.5" thickBot="1" x14ac:dyDescent="0.25">
      <c r="B192" s="521" t="str">
        <f>+'11'!B253:M253</f>
        <v xml:space="preserve">Обеспечение деятельности муниципальных тучреждений (оказание услуг) - средства республиканского бюджета </v>
      </c>
      <c r="C192" s="521"/>
      <c r="D192" s="521"/>
      <c r="E192" s="521"/>
      <c r="F192" s="522"/>
      <c r="G192" s="366" t="str">
        <f>+'11'!Q253</f>
        <v>0710276020</v>
      </c>
      <c r="H192" s="363">
        <f>+'11'!R253</f>
        <v>0</v>
      </c>
      <c r="I192" s="363">
        <f>+'11'!O253</f>
        <v>7</v>
      </c>
      <c r="J192" s="363">
        <f>+'11'!P253</f>
        <v>1</v>
      </c>
      <c r="K192" s="523"/>
      <c r="L192" s="524"/>
      <c r="M192" s="361"/>
      <c r="N192" s="362"/>
      <c r="O192" s="365">
        <f>+'11'!U253</f>
        <v>64389.4</v>
      </c>
      <c r="P192" s="433">
        <f>+'11'!AG253</f>
        <v>16883.136839999999</v>
      </c>
      <c r="Q192" s="436">
        <f t="shared" si="3"/>
        <v>26.220366768443252</v>
      </c>
    </row>
    <row r="193" spans="2:17" ht="13.5" thickBot="1" x14ac:dyDescent="0.25">
      <c r="B193" s="521" t="str">
        <f>+'11'!B254:M254</f>
        <v>Предоставление субсидий бюджетным, автономным учреждениям и иным некоммерческим организациям</v>
      </c>
      <c r="C193" s="521"/>
      <c r="D193" s="521"/>
      <c r="E193" s="521"/>
      <c r="F193" s="522"/>
      <c r="G193" s="366" t="str">
        <f>+'11'!Q254</f>
        <v>0710276020</v>
      </c>
      <c r="H193" s="363" t="str">
        <f>+'11'!R254</f>
        <v>600</v>
      </c>
      <c r="I193" s="363">
        <f>+'11'!O254</f>
        <v>7</v>
      </c>
      <c r="J193" s="363">
        <f>+'11'!P254</f>
        <v>1</v>
      </c>
      <c r="K193" s="523"/>
      <c r="L193" s="524"/>
      <c r="M193" s="361"/>
      <c r="N193" s="362"/>
      <c r="O193" s="365">
        <f>+'11'!U254</f>
        <v>64389.4</v>
      </c>
      <c r="P193" s="433">
        <f>+'11'!AG254</f>
        <v>16883.136839999999</v>
      </c>
      <c r="Q193" s="436">
        <f t="shared" si="3"/>
        <v>26.220366768443252</v>
      </c>
    </row>
    <row r="194" spans="2:17" ht="13.5" thickBot="1" x14ac:dyDescent="0.25">
      <c r="B194" s="521" t="str">
        <f>+'11'!B255:M255</f>
        <v>Субсидии бюджетным учреждениям</v>
      </c>
      <c r="C194" s="521"/>
      <c r="D194" s="521"/>
      <c r="E194" s="521"/>
      <c r="F194" s="522"/>
      <c r="G194" s="366" t="str">
        <f>+'11'!Q255</f>
        <v>0710276020</v>
      </c>
      <c r="H194" s="363" t="str">
        <f>+'11'!R255</f>
        <v>610</v>
      </c>
      <c r="I194" s="363">
        <f>+'11'!O255</f>
        <v>7</v>
      </c>
      <c r="J194" s="363">
        <f>+'11'!P255</f>
        <v>1</v>
      </c>
      <c r="K194" s="523"/>
      <c r="L194" s="524"/>
      <c r="M194" s="361"/>
      <c r="N194" s="362"/>
      <c r="O194" s="365">
        <f>+'11'!U255</f>
        <v>64389.4</v>
      </c>
      <c r="P194" s="433">
        <f>+'11'!AG255</f>
        <v>16883.136839999999</v>
      </c>
      <c r="Q194" s="436">
        <f t="shared" si="3"/>
        <v>26.220366768443252</v>
      </c>
    </row>
    <row r="195" spans="2:17" ht="13.5" thickBot="1" x14ac:dyDescent="0.25">
      <c r="B195" s="521" t="str">
        <f>+'11'!B256:M256</f>
        <v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v>
      </c>
      <c r="C195" s="521"/>
      <c r="D195" s="521"/>
      <c r="E195" s="521"/>
      <c r="F195" s="522"/>
      <c r="G195" s="366" t="str">
        <f>+'11'!Q256</f>
        <v>0710276020</v>
      </c>
      <c r="H195" s="363" t="str">
        <f>+'11'!R256</f>
        <v>611</v>
      </c>
      <c r="I195" s="363">
        <f>+'11'!O256</f>
        <v>7</v>
      </c>
      <c r="J195" s="363">
        <f>+'11'!P256</f>
        <v>1</v>
      </c>
      <c r="K195" s="523"/>
      <c r="L195" s="524"/>
      <c r="M195" s="361"/>
      <c r="N195" s="362"/>
      <c r="O195" s="365">
        <f>+'11'!U256</f>
        <v>64389.4</v>
      </c>
      <c r="P195" s="433">
        <f>+'11'!AG256</f>
        <v>16883.136839999999</v>
      </c>
      <c r="Q195" s="436">
        <f t="shared" si="3"/>
        <v>26.220366768443252</v>
      </c>
    </row>
    <row r="196" spans="2:17" ht="13.5" thickBot="1" x14ac:dyDescent="0.25">
      <c r="B196" s="521" t="str">
        <f>+'11'!B257:M257</f>
        <v>Общее образование</v>
      </c>
      <c r="C196" s="521"/>
      <c r="D196" s="521"/>
      <c r="E196" s="521"/>
      <c r="F196" s="522"/>
      <c r="G196" s="366">
        <f>+'11'!Q257</f>
        <v>0</v>
      </c>
      <c r="H196" s="363">
        <f>+'11'!R257</f>
        <v>0</v>
      </c>
      <c r="I196" s="363">
        <f>+'11'!O257</f>
        <v>7</v>
      </c>
      <c r="J196" s="363">
        <f>+'11'!P257</f>
        <v>2</v>
      </c>
      <c r="K196" s="523"/>
      <c r="L196" s="524"/>
      <c r="M196" s="361"/>
      <c r="N196" s="362"/>
      <c r="O196" s="365">
        <f>+'11'!U257</f>
        <v>196555.891</v>
      </c>
      <c r="P196" s="433">
        <f>+'11'!AG257</f>
        <v>49049.029589999998</v>
      </c>
      <c r="Q196" s="436">
        <f t="shared" si="3"/>
        <v>24.954240415007455</v>
      </c>
    </row>
    <row r="197" spans="2:17" ht="13.5" thickBot="1" x14ac:dyDescent="0.25">
      <c r="B197" s="521" t="str">
        <f>+'11'!B258:M258</f>
        <v xml:space="preserve">Муниципальная программа "Развитие образования Овюрского кожууна </v>
      </c>
      <c r="C197" s="521"/>
      <c r="D197" s="521"/>
      <c r="E197" s="521"/>
      <c r="F197" s="522"/>
      <c r="G197" s="366" t="str">
        <f>+'11'!Q258</f>
        <v>0700000000</v>
      </c>
      <c r="H197" s="363">
        <f>+'11'!R258</f>
        <v>0</v>
      </c>
      <c r="I197" s="363">
        <f>+'11'!O258</f>
        <v>7</v>
      </c>
      <c r="J197" s="363">
        <f>+'11'!P258</f>
        <v>2</v>
      </c>
      <c r="K197" s="523"/>
      <c r="L197" s="524"/>
      <c r="M197" s="361"/>
      <c r="N197" s="362"/>
      <c r="O197" s="365">
        <f>+'11'!U258</f>
        <v>18289.091</v>
      </c>
      <c r="P197" s="433">
        <f>+'11'!AG258</f>
        <v>3857.6077599999999</v>
      </c>
      <c r="Q197" s="436">
        <f t="shared" si="3"/>
        <v>21.092397429702768</v>
      </c>
    </row>
    <row r="198" spans="2:17" ht="13.5" thickBot="1" x14ac:dyDescent="0.25">
      <c r="B198" s="521" t="str">
        <f>+'11'!B259:M259</f>
        <v>подпрограмма "Развитие общего образования"</v>
      </c>
      <c r="C198" s="521"/>
      <c r="D198" s="521"/>
      <c r="E198" s="521"/>
      <c r="F198" s="522"/>
      <c r="G198" s="366" t="str">
        <f>+'11'!Q259</f>
        <v>0720000000</v>
      </c>
      <c r="H198" s="363">
        <f>+'11'!R259</f>
        <v>0</v>
      </c>
      <c r="I198" s="363">
        <f>+'11'!O259</f>
        <v>7</v>
      </c>
      <c r="J198" s="363">
        <f>+'11'!P259</f>
        <v>2</v>
      </c>
      <c r="K198" s="523"/>
      <c r="L198" s="524"/>
      <c r="M198" s="361"/>
      <c r="N198" s="362"/>
      <c r="O198" s="365">
        <f>+'11'!U259</f>
        <v>18289.091</v>
      </c>
      <c r="P198" s="433">
        <f>+'11'!AG259</f>
        <v>3857.6077599999999</v>
      </c>
      <c r="Q198" s="436">
        <f t="shared" si="3"/>
        <v>21.092397429702768</v>
      </c>
    </row>
    <row r="199" spans="2:17" ht="13.5" thickBot="1" x14ac:dyDescent="0.25">
      <c r="B199" s="521" t="str">
        <f>+'11'!B260:M260</f>
        <v xml:space="preserve">Обеспечение деятельности муниципальных учреждений (оказание услуг) - средства местного бюджета </v>
      </c>
      <c r="C199" s="521"/>
      <c r="D199" s="521"/>
      <c r="E199" s="521"/>
      <c r="F199" s="522"/>
      <c r="G199" s="366" t="str">
        <f>+'11'!Q260</f>
        <v>0720100059</v>
      </c>
      <c r="H199" s="363">
        <f>+'11'!R260</f>
        <v>0</v>
      </c>
      <c r="I199" s="363">
        <f>+'11'!O260</f>
        <v>7</v>
      </c>
      <c r="J199" s="363">
        <f>+'11'!P260</f>
        <v>2</v>
      </c>
      <c r="K199" s="523"/>
      <c r="L199" s="524"/>
      <c r="M199" s="361"/>
      <c r="N199" s="362"/>
      <c r="O199" s="365">
        <f>+'11'!U260</f>
        <v>18289.091</v>
      </c>
      <c r="P199" s="433">
        <f>+'11'!AG260</f>
        <v>3857.6077599999999</v>
      </c>
      <c r="Q199" s="436">
        <f t="shared" si="3"/>
        <v>21.092397429702768</v>
      </c>
    </row>
    <row r="200" spans="2:17" ht="13.5" thickBot="1" x14ac:dyDescent="0.25">
      <c r="B200" s="521" t="str">
        <f>+'11'!B261:M261</f>
        <v>Предоставление субсидий бюджетным, автономным учреждениям и иным некоммерческим организациям</v>
      </c>
      <c r="C200" s="521"/>
      <c r="D200" s="521"/>
      <c r="E200" s="521"/>
      <c r="F200" s="522"/>
      <c r="G200" s="366" t="str">
        <f>+'11'!Q261</f>
        <v>0720100059</v>
      </c>
      <c r="H200" s="363" t="str">
        <f>+'11'!R261</f>
        <v>600</v>
      </c>
      <c r="I200" s="363">
        <f>+'11'!O261</f>
        <v>7</v>
      </c>
      <c r="J200" s="363">
        <f>+'11'!P261</f>
        <v>2</v>
      </c>
      <c r="K200" s="523"/>
      <c r="L200" s="524"/>
      <c r="M200" s="361"/>
      <c r="N200" s="362"/>
      <c r="O200" s="365">
        <f>+'11'!U261</f>
        <v>18289.091</v>
      </c>
      <c r="P200" s="433">
        <f>+'11'!AG261</f>
        <v>3857.6077599999999</v>
      </c>
      <c r="Q200" s="436">
        <f t="shared" si="3"/>
        <v>21.092397429702768</v>
      </c>
    </row>
    <row r="201" spans="2:17" ht="13.5" thickBot="1" x14ac:dyDescent="0.25">
      <c r="B201" s="521" t="str">
        <f>+'11'!B262:M262</f>
        <v>Субсидии бюджетным учреждениям</v>
      </c>
      <c r="C201" s="521"/>
      <c r="D201" s="521"/>
      <c r="E201" s="521"/>
      <c r="F201" s="522"/>
      <c r="G201" s="366" t="str">
        <f>+'11'!Q262</f>
        <v>0720100059</v>
      </c>
      <c r="H201" s="363" t="str">
        <f>+'11'!R262</f>
        <v>610</v>
      </c>
      <c r="I201" s="363">
        <f>+'11'!O262</f>
        <v>7</v>
      </c>
      <c r="J201" s="363">
        <f>+'11'!P262</f>
        <v>2</v>
      </c>
      <c r="K201" s="523"/>
      <c r="L201" s="524"/>
      <c r="M201" s="361"/>
      <c r="N201" s="362"/>
      <c r="O201" s="365">
        <f>+'11'!U262</f>
        <v>18289.091</v>
      </c>
      <c r="P201" s="433">
        <f>+'11'!AG262</f>
        <v>3857.6077599999999</v>
      </c>
      <c r="Q201" s="436">
        <f t="shared" si="3"/>
        <v>21.092397429702768</v>
      </c>
    </row>
    <row r="202" spans="2:17" ht="13.5" thickBot="1" x14ac:dyDescent="0.25">
      <c r="B202" s="521" t="str">
        <f>+'11'!B263:M263</f>
        <v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v>
      </c>
      <c r="C202" s="521"/>
      <c r="D202" s="521"/>
      <c r="E202" s="521"/>
      <c r="F202" s="522"/>
      <c r="G202" s="366" t="str">
        <f>+'11'!Q263</f>
        <v>0720100059</v>
      </c>
      <c r="H202" s="363" t="str">
        <f>+'11'!R263</f>
        <v>611</v>
      </c>
      <c r="I202" s="363">
        <f>+'11'!O263</f>
        <v>7</v>
      </c>
      <c r="J202" s="363">
        <f>+'11'!P263</f>
        <v>2</v>
      </c>
      <c r="K202" s="523"/>
      <c r="L202" s="524"/>
      <c r="M202" s="361"/>
      <c r="N202" s="362"/>
      <c r="O202" s="365">
        <f>+'11'!U263</f>
        <v>18289.091</v>
      </c>
      <c r="P202" s="433">
        <f>+'11'!AG263</f>
        <v>3857.6077599999999</v>
      </c>
      <c r="Q202" s="436">
        <f t="shared" si="3"/>
        <v>21.092397429702768</v>
      </c>
    </row>
    <row r="203" spans="2:17" ht="13.5" thickBot="1" x14ac:dyDescent="0.25">
      <c r="B203" s="521" t="str">
        <f>+'11'!B264:M264</f>
        <v xml:space="preserve">Муниципальная программа "Развитие образования Овюрского кожууна </v>
      </c>
      <c r="C203" s="521"/>
      <c r="D203" s="521"/>
      <c r="E203" s="521"/>
      <c r="F203" s="522"/>
      <c r="G203" s="366" t="str">
        <f>+'11'!Q264</f>
        <v>0700000000</v>
      </c>
      <c r="H203" s="363">
        <f>+'11'!R264</f>
        <v>0</v>
      </c>
      <c r="I203" s="363">
        <f>+'11'!O264</f>
        <v>7</v>
      </c>
      <c r="J203" s="363">
        <f>+'11'!P264</f>
        <v>2</v>
      </c>
      <c r="K203" s="523"/>
      <c r="L203" s="524"/>
      <c r="M203" s="361"/>
      <c r="N203" s="362"/>
      <c r="O203" s="365">
        <f>+'11'!U264</f>
        <v>175951</v>
      </c>
      <c r="P203" s="433">
        <f>+'11'!AG264</f>
        <v>45191.421829999999</v>
      </c>
      <c r="Q203" s="436">
        <f t="shared" si="3"/>
        <v>25.684094907104821</v>
      </c>
    </row>
    <row r="204" spans="2:17" ht="13.5" thickBot="1" x14ac:dyDescent="0.25">
      <c r="B204" s="521" t="str">
        <f>+'11'!B265:M265</f>
        <v>подпрограмма "Развитие общего образования"</v>
      </c>
      <c r="C204" s="521"/>
      <c r="D204" s="521"/>
      <c r="E204" s="521"/>
      <c r="F204" s="522"/>
      <c r="G204" s="366" t="str">
        <f>+'11'!Q265</f>
        <v>0720000000</v>
      </c>
      <c r="H204" s="363">
        <f>+'11'!R265</f>
        <v>0</v>
      </c>
      <c r="I204" s="363">
        <f>+'11'!O265</f>
        <v>7</v>
      </c>
      <c r="J204" s="363">
        <f>+'11'!P265</f>
        <v>2</v>
      </c>
      <c r="K204" s="523"/>
      <c r="L204" s="524"/>
      <c r="M204" s="361"/>
      <c r="N204" s="362"/>
      <c r="O204" s="365">
        <f>+'11'!U265</f>
        <v>175951</v>
      </c>
      <c r="P204" s="433">
        <f>+'11'!AG265</f>
        <v>45191.421829999999</v>
      </c>
      <c r="Q204" s="436">
        <f t="shared" si="3"/>
        <v>25.684094907104821</v>
      </c>
    </row>
    <row r="205" spans="2:17" ht="13.5" thickBot="1" x14ac:dyDescent="0.25">
      <c r="B205" s="521" t="str">
        <f>+'11'!B266:M266</f>
        <v>создание в общеобразовательных организациях, расположенных в сельской местности, условий для занятия физической культурой и спортом в рамках государственной программы Российской Федерации "Развитие образования" на 2013-2020 годы за счет ФБ</v>
      </c>
      <c r="C205" s="521"/>
      <c r="D205" s="521"/>
      <c r="E205" s="521"/>
      <c r="F205" s="522"/>
      <c r="G205" s="366" t="str">
        <f>+'11'!Q266</f>
        <v>0720276020</v>
      </c>
      <c r="H205" s="363">
        <f>+'11'!R266</f>
        <v>0</v>
      </c>
      <c r="I205" s="363">
        <f>+'11'!O266</f>
        <v>7</v>
      </c>
      <c r="J205" s="363">
        <f>+'11'!P266</f>
        <v>2</v>
      </c>
      <c r="K205" s="523"/>
      <c r="L205" s="524"/>
      <c r="M205" s="361"/>
      <c r="N205" s="362"/>
      <c r="O205" s="365">
        <f>+'11'!U266</f>
        <v>175951</v>
      </c>
      <c r="P205" s="433">
        <f>+'11'!AG266</f>
        <v>45191.421829999999</v>
      </c>
      <c r="Q205" s="436">
        <f t="shared" si="3"/>
        <v>25.684094907104821</v>
      </c>
    </row>
    <row r="206" spans="2:17" ht="13.5" thickBot="1" x14ac:dyDescent="0.25">
      <c r="B206" s="521" t="str">
        <f>+'11'!B267:M267</f>
        <v>Предоставление субсидий бюджетным, автономным учреждениям и иным некоммерческим организациям</v>
      </c>
      <c r="C206" s="521"/>
      <c r="D206" s="521"/>
      <c r="E206" s="521"/>
      <c r="F206" s="522"/>
      <c r="G206" s="366" t="str">
        <f>+'11'!Q267</f>
        <v>0720276020</v>
      </c>
      <c r="H206" s="363" t="str">
        <f>+'11'!R267</f>
        <v>600</v>
      </c>
      <c r="I206" s="363">
        <f>+'11'!O267</f>
        <v>7</v>
      </c>
      <c r="J206" s="363">
        <f>+'11'!P267</f>
        <v>2</v>
      </c>
      <c r="K206" s="523"/>
      <c r="L206" s="524"/>
      <c r="M206" s="361"/>
      <c r="N206" s="362"/>
      <c r="O206" s="365">
        <f>+'11'!U267</f>
        <v>175951</v>
      </c>
      <c r="P206" s="433">
        <f>+'11'!AG267</f>
        <v>45191.421829999999</v>
      </c>
      <c r="Q206" s="436">
        <f t="shared" si="3"/>
        <v>25.684094907104821</v>
      </c>
    </row>
    <row r="207" spans="2:17" ht="13.5" thickBot="1" x14ac:dyDescent="0.25">
      <c r="B207" s="521" t="str">
        <f>+'11'!B268:M268</f>
        <v>Субсидии бюджетным учреждениям</v>
      </c>
      <c r="C207" s="521"/>
      <c r="D207" s="521"/>
      <c r="E207" s="521"/>
      <c r="F207" s="522"/>
      <c r="G207" s="366" t="str">
        <f>+'11'!Q268</f>
        <v>0720276020</v>
      </c>
      <c r="H207" s="363" t="str">
        <f>+'11'!R268</f>
        <v>610</v>
      </c>
      <c r="I207" s="363">
        <f>+'11'!O268</f>
        <v>7</v>
      </c>
      <c r="J207" s="363">
        <f>+'11'!P268</f>
        <v>2</v>
      </c>
      <c r="K207" s="523"/>
      <c r="L207" s="524"/>
      <c r="M207" s="361"/>
      <c r="N207" s="362"/>
      <c r="O207" s="365">
        <f>+'11'!U268</f>
        <v>175951</v>
      </c>
      <c r="P207" s="433">
        <f>+'11'!AG268</f>
        <v>45191.421829999999</v>
      </c>
      <c r="Q207" s="436">
        <f t="shared" si="3"/>
        <v>25.684094907104821</v>
      </c>
    </row>
    <row r="208" spans="2:17" ht="13.5" thickBot="1" x14ac:dyDescent="0.25">
      <c r="B208" s="521" t="str">
        <f>+'11'!B269:M269</f>
        <v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v>
      </c>
      <c r="C208" s="521"/>
      <c r="D208" s="521"/>
      <c r="E208" s="521"/>
      <c r="F208" s="522"/>
      <c r="G208" s="366" t="str">
        <f>+'11'!Q269</f>
        <v>0720276020</v>
      </c>
      <c r="H208" s="363" t="str">
        <f>+'11'!R269</f>
        <v>611</v>
      </c>
      <c r="I208" s="363">
        <f>+'11'!O269</f>
        <v>7</v>
      </c>
      <c r="J208" s="363">
        <f>+'11'!P269</f>
        <v>2</v>
      </c>
      <c r="K208" s="523"/>
      <c r="L208" s="524"/>
      <c r="M208" s="361"/>
      <c r="N208" s="362"/>
      <c r="O208" s="365">
        <f>+'11'!U269</f>
        <v>175951</v>
      </c>
      <c r="P208" s="433">
        <f>+'11'!AG269</f>
        <v>45191.421829999999</v>
      </c>
      <c r="Q208" s="436">
        <f t="shared" si="3"/>
        <v>25.684094907104821</v>
      </c>
    </row>
    <row r="209" spans="2:17" ht="13.5" thickBot="1" x14ac:dyDescent="0.25">
      <c r="B209" s="521" t="str">
        <f>+'11'!B270:M270</f>
        <v xml:space="preserve">Муниципальная программа "Развитие образования Овюрского кожууна </v>
      </c>
      <c r="C209" s="521"/>
      <c r="D209" s="521"/>
      <c r="E209" s="521"/>
      <c r="F209" s="522"/>
      <c r="G209" s="366" t="str">
        <f>+'11'!Q270</f>
        <v>0700000000</v>
      </c>
      <c r="H209" s="363">
        <f>+'11'!R270</f>
        <v>0</v>
      </c>
      <c r="I209" s="363">
        <f>+'11'!O270</f>
        <v>7</v>
      </c>
      <c r="J209" s="363">
        <f>+'11'!P270</f>
        <v>2</v>
      </c>
      <c r="K209" s="523"/>
      <c r="L209" s="524"/>
      <c r="M209" s="361"/>
      <c r="N209" s="362"/>
      <c r="O209" s="365">
        <f>+'11'!U270</f>
        <v>2315.8000000000002</v>
      </c>
      <c r="P209" s="433">
        <f>+'11'!AG270</f>
        <v>0</v>
      </c>
      <c r="Q209" s="436">
        <f t="shared" si="3"/>
        <v>0</v>
      </c>
    </row>
    <row r="210" spans="2:17" ht="13.5" thickBot="1" x14ac:dyDescent="0.25">
      <c r="B210" s="521" t="str">
        <f>+'11'!B271:M271</f>
        <v>подпрограмма "Развитие общего образования"</v>
      </c>
      <c r="C210" s="521"/>
      <c r="D210" s="521"/>
      <c r="E210" s="521"/>
      <c r="F210" s="522"/>
      <c r="G210" s="366" t="str">
        <f>+'11'!Q271</f>
        <v>0720000000</v>
      </c>
      <c r="H210" s="363">
        <f>+'11'!R271</f>
        <v>0</v>
      </c>
      <c r="I210" s="363">
        <f>+'11'!O271</f>
        <v>7</v>
      </c>
      <c r="J210" s="363">
        <f>+'11'!P271</f>
        <v>2</v>
      </c>
      <c r="K210" s="523"/>
      <c r="L210" s="524"/>
      <c r="M210" s="361"/>
      <c r="N210" s="362"/>
      <c r="O210" s="365">
        <f>+'11'!U271</f>
        <v>2315.8000000000002</v>
      </c>
      <c r="P210" s="433">
        <f>+'11'!AG271</f>
        <v>0</v>
      </c>
      <c r="Q210" s="436">
        <f t="shared" si="3"/>
        <v>0</v>
      </c>
    </row>
    <row r="211" spans="2:17" ht="13.5" thickBot="1" x14ac:dyDescent="0.25">
      <c r="B211" s="521" t="str">
        <f>+'11'!B272:M272</f>
        <v>Создание в общеобразовательных организациях, расположенных в сельской местности, условий для занятий физической культурой и спортом</v>
      </c>
      <c r="C211" s="521"/>
      <c r="D211" s="521"/>
      <c r="E211" s="521"/>
      <c r="F211" s="522"/>
      <c r="G211" s="366" t="str">
        <f>+'11'!Q272</f>
        <v>072E250970</v>
      </c>
      <c r="H211" s="363">
        <f>+'11'!R272</f>
        <v>0</v>
      </c>
      <c r="I211" s="363">
        <f>+'11'!O272</f>
        <v>7</v>
      </c>
      <c r="J211" s="363">
        <f>+'11'!P272</f>
        <v>2</v>
      </c>
      <c r="K211" s="523"/>
      <c r="L211" s="524"/>
      <c r="M211" s="361"/>
      <c r="N211" s="362"/>
      <c r="O211" s="365">
        <f>+'11'!U272</f>
        <v>2315.8000000000002</v>
      </c>
      <c r="P211" s="433">
        <f>+'11'!AG272</f>
        <v>0</v>
      </c>
      <c r="Q211" s="436">
        <f t="shared" si="3"/>
        <v>0</v>
      </c>
    </row>
    <row r="212" spans="2:17" ht="13.5" thickBot="1" x14ac:dyDescent="0.25">
      <c r="B212" s="521" t="str">
        <f>+'11'!B273:M273</f>
        <v>Предоставление субсидий бюджетным, автономным учреждениям и иным некоммерческим организациям</v>
      </c>
      <c r="C212" s="521"/>
      <c r="D212" s="521"/>
      <c r="E212" s="521"/>
      <c r="F212" s="522"/>
      <c r="G212" s="366" t="str">
        <f>+'11'!Q273</f>
        <v>072E250970</v>
      </c>
      <c r="H212" s="363" t="str">
        <f>+'11'!R273</f>
        <v>600</v>
      </c>
      <c r="I212" s="363">
        <f>+'11'!O273</f>
        <v>7</v>
      </c>
      <c r="J212" s="363">
        <f>+'11'!P273</f>
        <v>2</v>
      </c>
      <c r="K212" s="523"/>
      <c r="L212" s="524"/>
      <c r="M212" s="361"/>
      <c r="N212" s="362"/>
      <c r="O212" s="365">
        <f>+'11'!U273</f>
        <v>2315.8000000000002</v>
      </c>
      <c r="P212" s="433">
        <f>+'11'!AG273</f>
        <v>0</v>
      </c>
      <c r="Q212" s="436">
        <f t="shared" si="3"/>
        <v>0</v>
      </c>
    </row>
    <row r="213" spans="2:17" ht="13.5" thickBot="1" x14ac:dyDescent="0.25">
      <c r="B213" s="521" t="str">
        <f>+'11'!B274:M274</f>
        <v>Субсидии бюджетным учреждениям</v>
      </c>
      <c r="C213" s="521"/>
      <c r="D213" s="521"/>
      <c r="E213" s="521"/>
      <c r="F213" s="522"/>
      <c r="G213" s="366" t="str">
        <f>+'11'!Q274</f>
        <v>072E250970</v>
      </c>
      <c r="H213" s="363" t="str">
        <f>+'11'!R274</f>
        <v>610</v>
      </c>
      <c r="I213" s="363">
        <f>+'11'!O274</f>
        <v>7</v>
      </c>
      <c r="J213" s="363">
        <f>+'11'!P274</f>
        <v>2</v>
      </c>
      <c r="K213" s="523"/>
      <c r="L213" s="524"/>
      <c r="M213" s="361"/>
      <c r="N213" s="362"/>
      <c r="O213" s="365">
        <f>+'11'!U274</f>
        <v>2315.8000000000002</v>
      </c>
      <c r="P213" s="433">
        <f>+'11'!AG274</f>
        <v>0</v>
      </c>
      <c r="Q213" s="436">
        <f t="shared" si="3"/>
        <v>0</v>
      </c>
    </row>
    <row r="214" spans="2:17" ht="13.5" thickBot="1" x14ac:dyDescent="0.25">
      <c r="B214" s="521" t="str">
        <f>+'11'!B275:M275</f>
        <v>Субсидии бюджетным учреждениям на иные цели</v>
      </c>
      <c r="C214" s="521"/>
      <c r="D214" s="521"/>
      <c r="E214" s="521"/>
      <c r="F214" s="522"/>
      <c r="G214" s="366" t="str">
        <f>+'11'!Q275</f>
        <v>072E250970</v>
      </c>
      <c r="H214" s="363" t="str">
        <f>+'11'!R275</f>
        <v>612</v>
      </c>
      <c r="I214" s="363">
        <f>+'11'!O275</f>
        <v>7</v>
      </c>
      <c r="J214" s="363">
        <f>+'11'!P275</f>
        <v>2</v>
      </c>
      <c r="K214" s="523"/>
      <c r="L214" s="524"/>
      <c r="M214" s="361"/>
      <c r="N214" s="362"/>
      <c r="O214" s="365">
        <f>+'11'!U275</f>
        <v>2315.8000000000002</v>
      </c>
      <c r="P214" s="433">
        <f>+'11'!AG275</f>
        <v>0</v>
      </c>
      <c r="Q214" s="436">
        <f t="shared" si="3"/>
        <v>0</v>
      </c>
    </row>
    <row r="215" spans="2:17" ht="13.5" thickBot="1" x14ac:dyDescent="0.25">
      <c r="B215" s="521" t="str">
        <f>+'11'!B276:M276</f>
        <v>Дополнительное образование детей</v>
      </c>
      <c r="C215" s="521"/>
      <c r="D215" s="521"/>
      <c r="E215" s="521"/>
      <c r="F215" s="522"/>
      <c r="G215" s="366">
        <f>+'11'!Q276</f>
        <v>0</v>
      </c>
      <c r="H215" s="363">
        <f>+'11'!R276</f>
        <v>0</v>
      </c>
      <c r="I215" s="363">
        <f>+'11'!O276</f>
        <v>7</v>
      </c>
      <c r="J215" s="363">
        <f>+'11'!P276</f>
        <v>3</v>
      </c>
      <c r="K215" s="523"/>
      <c r="L215" s="524"/>
      <c r="M215" s="361"/>
      <c r="N215" s="362"/>
      <c r="O215" s="365">
        <f>+'11'!U276+'11'!U20</f>
        <v>21802.66</v>
      </c>
      <c r="P215" s="433">
        <f>+'11'!AG276+'11'!AG20</f>
        <v>5141.4431599999998</v>
      </c>
      <c r="Q215" s="436">
        <f t="shared" si="3"/>
        <v>23.58172424832566</v>
      </c>
    </row>
    <row r="216" spans="2:17" ht="13.5" thickBot="1" x14ac:dyDescent="0.25">
      <c r="B216" s="521" t="str">
        <f>+'11'!B277:M277</f>
        <v xml:space="preserve">Муниципальная программа "Развитие образования Овюрского кожууна </v>
      </c>
      <c r="C216" s="521"/>
      <c r="D216" s="521"/>
      <c r="E216" s="521"/>
      <c r="F216" s="522"/>
      <c r="G216" s="366" t="str">
        <f>+'11'!Q277</f>
        <v>0700000000</v>
      </c>
      <c r="H216" s="363">
        <f>+'11'!R277</f>
        <v>0</v>
      </c>
      <c r="I216" s="363">
        <f>+'11'!O277</f>
        <v>7</v>
      </c>
      <c r="J216" s="363">
        <f>+'11'!P277</f>
        <v>3</v>
      </c>
      <c r="K216" s="523"/>
      <c r="L216" s="524"/>
      <c r="M216" s="361"/>
      <c r="N216" s="362"/>
      <c r="O216" s="365">
        <f>+'11'!U277+'11'!U21</f>
        <v>21802.66</v>
      </c>
      <c r="P216" s="433">
        <f>+'11'!AG277+'11'!AG21</f>
        <v>5141.4431599999998</v>
      </c>
      <c r="Q216" s="436">
        <f t="shared" si="3"/>
        <v>23.58172424832566</v>
      </c>
    </row>
    <row r="217" spans="2:17" ht="13.5" thickBot="1" x14ac:dyDescent="0.25">
      <c r="B217" s="521" t="str">
        <f>+'11'!B278:M278</f>
        <v>подпрограмма "Развитие дополнительного образования"</v>
      </c>
      <c r="C217" s="521"/>
      <c r="D217" s="521"/>
      <c r="E217" s="521"/>
      <c r="F217" s="522"/>
      <c r="G217" s="366" t="str">
        <f>+'11'!Q278</f>
        <v>0730000000</v>
      </c>
      <c r="H217" s="363">
        <f>+'11'!R278</f>
        <v>0</v>
      </c>
      <c r="I217" s="363">
        <f>+'11'!O278</f>
        <v>7</v>
      </c>
      <c r="J217" s="363">
        <f>+'11'!P278</f>
        <v>3</v>
      </c>
      <c r="K217" s="523"/>
      <c r="L217" s="524"/>
      <c r="M217" s="361"/>
      <c r="N217" s="362"/>
      <c r="O217" s="365">
        <f>+'11'!U278+'11'!U22</f>
        <v>21802.66</v>
      </c>
      <c r="P217" s="433">
        <f>+'11'!AG278+'11'!AG22</f>
        <v>5141.4431599999998</v>
      </c>
      <c r="Q217" s="436">
        <f t="shared" si="3"/>
        <v>23.58172424832566</v>
      </c>
    </row>
    <row r="218" spans="2:17" ht="13.5" thickBot="1" x14ac:dyDescent="0.25">
      <c r="B218" s="521" t="str">
        <f>+'11'!B279:M279</f>
        <v>Обеспечение деятельности муниципальных учреждений (оказание услуг) - средства местного бюджета</v>
      </c>
      <c r="C218" s="521"/>
      <c r="D218" s="521"/>
      <c r="E218" s="521"/>
      <c r="F218" s="522"/>
      <c r="G218" s="366" t="str">
        <f>+'11'!Q279</f>
        <v>0730100059</v>
      </c>
      <c r="H218" s="363">
        <f>+'11'!R279</f>
        <v>0</v>
      </c>
      <c r="I218" s="363">
        <f>+'11'!O279</f>
        <v>7</v>
      </c>
      <c r="J218" s="363">
        <f>+'11'!P279</f>
        <v>3</v>
      </c>
      <c r="K218" s="523"/>
      <c r="L218" s="524"/>
      <c r="M218" s="361"/>
      <c r="N218" s="362"/>
      <c r="O218" s="365">
        <f>+'11'!U279+'11'!U23</f>
        <v>21802.66</v>
      </c>
      <c r="P218" s="433">
        <f>+'11'!AG279+'11'!AG23</f>
        <v>5141.4431599999998</v>
      </c>
      <c r="Q218" s="436">
        <f t="shared" si="3"/>
        <v>23.58172424832566</v>
      </c>
    </row>
    <row r="219" spans="2:17" ht="13.5" thickBot="1" x14ac:dyDescent="0.25">
      <c r="B219" s="521" t="str">
        <f>+'11'!B280:M280</f>
        <v>Предоставление субсидий бюджетным, автономным учреждениям и иным некоммерческим организациям</v>
      </c>
      <c r="C219" s="521"/>
      <c r="D219" s="521"/>
      <c r="E219" s="521"/>
      <c r="F219" s="522"/>
      <c r="G219" s="366" t="str">
        <f>+'11'!Q280</f>
        <v>0730100059</v>
      </c>
      <c r="H219" s="363" t="str">
        <f>+'11'!R280</f>
        <v>600</v>
      </c>
      <c r="I219" s="363">
        <f>+'11'!O280</f>
        <v>7</v>
      </c>
      <c r="J219" s="363">
        <f>+'11'!P280</f>
        <v>3</v>
      </c>
      <c r="K219" s="523"/>
      <c r="L219" s="524"/>
      <c r="M219" s="361"/>
      <c r="N219" s="362"/>
      <c r="O219" s="365">
        <f>+'11'!U280+'11'!U24</f>
        <v>21802.66</v>
      </c>
      <c r="P219" s="433">
        <f>+'11'!AG280+'11'!AG24</f>
        <v>5141.4431599999998</v>
      </c>
      <c r="Q219" s="436">
        <f t="shared" si="3"/>
        <v>23.58172424832566</v>
      </c>
    </row>
    <row r="220" spans="2:17" ht="13.5" thickBot="1" x14ac:dyDescent="0.25">
      <c r="B220" s="521" t="str">
        <f>+'11'!B281:M281</f>
        <v>Субсидии бюджетным учреждениям</v>
      </c>
      <c r="C220" s="521"/>
      <c r="D220" s="521"/>
      <c r="E220" s="521"/>
      <c r="F220" s="522"/>
      <c r="G220" s="366" t="str">
        <f>+'11'!Q281</f>
        <v>0730100059</v>
      </c>
      <c r="H220" s="363" t="str">
        <f>+'11'!R281</f>
        <v>610</v>
      </c>
      <c r="I220" s="363">
        <f>+'11'!O281</f>
        <v>7</v>
      </c>
      <c r="J220" s="363">
        <f>+'11'!P281</f>
        <v>3</v>
      </c>
      <c r="K220" s="523"/>
      <c r="L220" s="524"/>
      <c r="M220" s="361"/>
      <c r="N220" s="362"/>
      <c r="O220" s="365">
        <f>+'11'!U281+'11'!U25</f>
        <v>21802.66</v>
      </c>
      <c r="P220" s="433">
        <f>+'11'!AG281+'11'!AG25</f>
        <v>5141.4431599999998</v>
      </c>
      <c r="Q220" s="436">
        <f t="shared" si="3"/>
        <v>23.58172424832566</v>
      </c>
    </row>
    <row r="221" spans="2:17" ht="13.5" thickBot="1" x14ac:dyDescent="0.25">
      <c r="B221" s="521" t="str">
        <f>+'11'!B282:M282</f>
        <v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v>
      </c>
      <c r="C221" s="521"/>
      <c r="D221" s="521"/>
      <c r="E221" s="521"/>
      <c r="F221" s="522"/>
      <c r="G221" s="366" t="str">
        <f>+'11'!Q282</f>
        <v>0730100059</v>
      </c>
      <c r="H221" s="363" t="str">
        <f>+'11'!R282</f>
        <v>611</v>
      </c>
      <c r="I221" s="363">
        <f>+'11'!O282</f>
        <v>7</v>
      </c>
      <c r="J221" s="363">
        <f>+'11'!P282</f>
        <v>3</v>
      </c>
      <c r="K221" s="523"/>
      <c r="L221" s="524"/>
      <c r="M221" s="361"/>
      <c r="N221" s="362"/>
      <c r="O221" s="365">
        <f>+'11'!U282+'11'!U26</f>
        <v>21802.66</v>
      </c>
      <c r="P221" s="433">
        <f>+'11'!AG282+'11'!AG26</f>
        <v>5141.4431599999998</v>
      </c>
      <c r="Q221" s="436">
        <f t="shared" si="3"/>
        <v>23.58172424832566</v>
      </c>
    </row>
    <row r="222" spans="2:17" ht="13.5" thickBot="1" x14ac:dyDescent="0.25">
      <c r="B222" s="521" t="str">
        <f>+'11'!B283:M283</f>
        <v>Молодежная политика</v>
      </c>
      <c r="C222" s="521"/>
      <c r="D222" s="521"/>
      <c r="E222" s="521"/>
      <c r="F222" s="522"/>
      <c r="G222" s="366">
        <f>+'11'!Q283</f>
        <v>0</v>
      </c>
      <c r="H222" s="363">
        <f>+'11'!R283</f>
        <v>0</v>
      </c>
      <c r="I222" s="363">
        <f>+'11'!O283</f>
        <v>7</v>
      </c>
      <c r="J222" s="363">
        <f>+'11'!P283</f>
        <v>7</v>
      </c>
      <c r="K222" s="523"/>
      <c r="L222" s="524"/>
      <c r="M222" s="361"/>
      <c r="N222" s="362"/>
      <c r="O222" s="365">
        <f>+'11'!U283</f>
        <v>1230</v>
      </c>
      <c r="P222" s="433">
        <f>+'11'!AG283</f>
        <v>0</v>
      </c>
      <c r="Q222" s="436">
        <f t="shared" si="3"/>
        <v>0</v>
      </c>
    </row>
    <row r="223" spans="2:17" ht="13.5" thickBot="1" x14ac:dyDescent="0.25">
      <c r="B223" s="521" t="str">
        <f>+'11'!B284:M284</f>
        <v xml:space="preserve">Муниципальная программа "Развитие образования Овюрского кожууна </v>
      </c>
      <c r="C223" s="521"/>
      <c r="D223" s="521"/>
      <c r="E223" s="521"/>
      <c r="F223" s="522"/>
      <c r="G223" s="366" t="str">
        <f>+'11'!Q284</f>
        <v>0700000000</v>
      </c>
      <c r="H223" s="363">
        <f>+'11'!R284</f>
        <v>0</v>
      </c>
      <c r="I223" s="363">
        <f>+'11'!O284</f>
        <v>7</v>
      </c>
      <c r="J223" s="363">
        <f>+'11'!P284</f>
        <v>7</v>
      </c>
      <c r="K223" s="523"/>
      <c r="L223" s="524"/>
      <c r="M223" s="361"/>
      <c r="N223" s="362"/>
      <c r="O223" s="365">
        <f>+'11'!U284</f>
        <v>1230</v>
      </c>
      <c r="P223" s="433">
        <f>+'11'!AG284</f>
        <v>0</v>
      </c>
      <c r="Q223" s="436">
        <f t="shared" si="3"/>
        <v>0</v>
      </c>
    </row>
    <row r="224" spans="2:17" ht="13.5" thickBot="1" x14ac:dyDescent="0.25">
      <c r="B224" s="521" t="str">
        <f>+'11'!B285:M285</f>
        <v>Подпрограмма "Отдых и оздоровление детей"</v>
      </c>
      <c r="C224" s="521"/>
      <c r="D224" s="521"/>
      <c r="E224" s="521"/>
      <c r="F224" s="522"/>
      <c r="G224" s="366" t="str">
        <f>+'11'!Q285</f>
        <v>0740000000</v>
      </c>
      <c r="H224" s="363">
        <f>+'11'!R285</f>
        <v>0</v>
      </c>
      <c r="I224" s="363">
        <f>+'11'!O285</f>
        <v>7</v>
      </c>
      <c r="J224" s="363">
        <f>+'11'!P285</f>
        <v>7</v>
      </c>
      <c r="K224" s="523"/>
      <c r="L224" s="524"/>
      <c r="M224" s="361"/>
      <c r="N224" s="362"/>
      <c r="O224" s="365">
        <f>+'11'!U285</f>
        <v>1230</v>
      </c>
      <c r="P224" s="433">
        <f>+'11'!AG285</f>
        <v>0</v>
      </c>
      <c r="Q224" s="436">
        <f t="shared" si="3"/>
        <v>0</v>
      </c>
    </row>
    <row r="225" spans="2:17" ht="13.5" thickBot="1" x14ac:dyDescent="0.25">
      <c r="B225" s="521" t="str">
        <f>+'11'!B286:M286</f>
        <v>Мероприятия по оздоровлению детей</v>
      </c>
      <c r="C225" s="521"/>
      <c r="D225" s="521"/>
      <c r="E225" s="521"/>
      <c r="F225" s="522"/>
      <c r="G225" s="366" t="str">
        <f>+'11'!Q286</f>
        <v>0740175040</v>
      </c>
      <c r="H225" s="363">
        <f>+'11'!R286</f>
        <v>0</v>
      </c>
      <c r="I225" s="363">
        <f>+'11'!O286</f>
        <v>7</v>
      </c>
      <c r="J225" s="363">
        <f>+'11'!P286</f>
        <v>7</v>
      </c>
      <c r="K225" s="523"/>
      <c r="L225" s="524"/>
      <c r="M225" s="361"/>
      <c r="N225" s="362"/>
      <c r="O225" s="365">
        <f>+'11'!U286</f>
        <v>1230</v>
      </c>
      <c r="P225" s="433">
        <f>+'11'!AG286</f>
        <v>0</v>
      </c>
      <c r="Q225" s="436">
        <f t="shared" si="3"/>
        <v>0</v>
      </c>
    </row>
    <row r="226" spans="2:17" ht="13.5" thickBot="1" x14ac:dyDescent="0.25">
      <c r="B226" s="521" t="str">
        <f>+'11'!B287:M287</f>
        <v>Предоставление субсидий бюджетным, автономным учреждениям и иным некоммерческим организациям</v>
      </c>
      <c r="C226" s="521"/>
      <c r="D226" s="521"/>
      <c r="E226" s="521"/>
      <c r="F226" s="522"/>
      <c r="G226" s="366" t="str">
        <f>+'11'!Q287</f>
        <v>0740175040</v>
      </c>
      <c r="H226" s="363" t="str">
        <f>+'11'!R287</f>
        <v>600</v>
      </c>
      <c r="I226" s="363">
        <f>+'11'!O287</f>
        <v>7</v>
      </c>
      <c r="J226" s="363">
        <f>+'11'!P287</f>
        <v>7</v>
      </c>
      <c r="K226" s="523"/>
      <c r="L226" s="524"/>
      <c r="M226" s="361"/>
      <c r="N226" s="362"/>
      <c r="O226" s="365">
        <f>+'11'!U287</f>
        <v>1230</v>
      </c>
      <c r="P226" s="433">
        <f>+'11'!AG287</f>
        <v>0</v>
      </c>
      <c r="Q226" s="436">
        <f t="shared" si="3"/>
        <v>0</v>
      </c>
    </row>
    <row r="227" spans="2:17" ht="13.5" thickBot="1" x14ac:dyDescent="0.25">
      <c r="B227" s="521" t="str">
        <f>+'11'!B288:M288</f>
        <v>Субсидии бюджетным учреждениям</v>
      </c>
      <c r="C227" s="521"/>
      <c r="D227" s="521"/>
      <c r="E227" s="521"/>
      <c r="F227" s="522"/>
      <c r="G227" s="366" t="str">
        <f>+'11'!Q288</f>
        <v>0740175040</v>
      </c>
      <c r="H227" s="363" t="str">
        <f>+'11'!R288</f>
        <v>610</v>
      </c>
      <c r="I227" s="363">
        <f>+'11'!O288</f>
        <v>7</v>
      </c>
      <c r="J227" s="363">
        <f>+'11'!P288</f>
        <v>7</v>
      </c>
      <c r="K227" s="523"/>
      <c r="L227" s="524"/>
      <c r="M227" s="361"/>
      <c r="N227" s="362"/>
      <c r="O227" s="365">
        <f>+'11'!U288</f>
        <v>1230</v>
      </c>
      <c r="P227" s="433">
        <f>+'11'!AG288</f>
        <v>0</v>
      </c>
      <c r="Q227" s="436">
        <f t="shared" ref="Q227:Q290" si="4">P227/O227*100</f>
        <v>0</v>
      </c>
    </row>
    <row r="228" spans="2:17" ht="13.5" thickBot="1" x14ac:dyDescent="0.25">
      <c r="B228" s="521" t="str">
        <f>+'11'!B289:M289</f>
        <v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v>
      </c>
      <c r="C228" s="521"/>
      <c r="D228" s="521"/>
      <c r="E228" s="521"/>
      <c r="F228" s="522"/>
      <c r="G228" s="366" t="str">
        <f>+'11'!Q289</f>
        <v>0740175040</v>
      </c>
      <c r="H228" s="363" t="str">
        <f>+'11'!R289</f>
        <v>611</v>
      </c>
      <c r="I228" s="363">
        <f>+'11'!O289</f>
        <v>7</v>
      </c>
      <c r="J228" s="363">
        <f>+'11'!P289</f>
        <v>7</v>
      </c>
      <c r="K228" s="523"/>
      <c r="L228" s="524"/>
      <c r="M228" s="361"/>
      <c r="N228" s="362"/>
      <c r="O228" s="365">
        <f>+'11'!U289</f>
        <v>1230</v>
      </c>
      <c r="P228" s="433">
        <f>+'11'!AG289</f>
        <v>0</v>
      </c>
      <c r="Q228" s="436">
        <f t="shared" si="4"/>
        <v>0</v>
      </c>
    </row>
    <row r="229" spans="2:17" ht="13.5" thickBot="1" x14ac:dyDescent="0.25">
      <c r="B229" s="521" t="str">
        <f>+'11'!B290:M290</f>
        <v>Другие вопросы в области образования</v>
      </c>
      <c r="C229" s="521"/>
      <c r="D229" s="521"/>
      <c r="E229" s="521"/>
      <c r="F229" s="522"/>
      <c r="G229" s="366">
        <f>+'11'!Q290</f>
        <v>0</v>
      </c>
      <c r="H229" s="363">
        <f>+'11'!R290</f>
        <v>0</v>
      </c>
      <c r="I229" s="363">
        <f>+'11'!O290</f>
        <v>7</v>
      </c>
      <c r="J229" s="363">
        <f>+'11'!P290</f>
        <v>9</v>
      </c>
      <c r="K229" s="523"/>
      <c r="L229" s="524"/>
      <c r="M229" s="361"/>
      <c r="N229" s="362"/>
      <c r="O229" s="365">
        <f>+'11'!U290</f>
        <v>17315.754000000001</v>
      </c>
      <c r="P229" s="433">
        <f>+'11'!AG290</f>
        <v>4686.4971399999995</v>
      </c>
      <c r="Q229" s="436">
        <f t="shared" si="4"/>
        <v>27.064932546396765</v>
      </c>
    </row>
    <row r="230" spans="2:17" ht="13.5" thickBot="1" x14ac:dyDescent="0.25">
      <c r="B230" s="521" t="str">
        <f>+'11'!B291:M291</f>
        <v xml:space="preserve">Муниципальная программа "Развитие образования Овюрского кожууна </v>
      </c>
      <c r="C230" s="521"/>
      <c r="D230" s="521"/>
      <c r="E230" s="521"/>
      <c r="F230" s="522"/>
      <c r="G230" s="366" t="str">
        <f>+'11'!Q291</f>
        <v>0700000000</v>
      </c>
      <c r="H230" s="363">
        <f>+'11'!R291</f>
        <v>0</v>
      </c>
      <c r="I230" s="363">
        <f>+'11'!O291</f>
        <v>7</v>
      </c>
      <c r="J230" s="363">
        <f>+'11'!P291</f>
        <v>9</v>
      </c>
      <c r="K230" s="523"/>
      <c r="L230" s="524"/>
      <c r="M230" s="361"/>
      <c r="N230" s="362"/>
      <c r="O230" s="365">
        <f>+'11'!U291</f>
        <v>752.33299999999997</v>
      </c>
      <c r="P230" s="433">
        <f>+'11'!AG291</f>
        <v>186.32093</v>
      </c>
      <c r="Q230" s="436">
        <f t="shared" si="4"/>
        <v>24.765752665375572</v>
      </c>
    </row>
    <row r="231" spans="2:17" ht="13.5" thickBot="1" x14ac:dyDescent="0.25">
      <c r="B231" s="521" t="str">
        <f>+'11'!B292:M292</f>
        <v>подпрограмма "Обеспечение реализации муниципальной программы и прочие мероприятия в сфере образования"</v>
      </c>
      <c r="C231" s="521"/>
      <c r="D231" s="521"/>
      <c r="E231" s="521"/>
      <c r="F231" s="522"/>
      <c r="G231" s="366" t="str">
        <f>+'11'!Q292</f>
        <v>0760000000</v>
      </c>
      <c r="H231" s="363">
        <f>+'11'!R292</f>
        <v>0</v>
      </c>
      <c r="I231" s="363">
        <f>+'11'!O292</f>
        <v>7</v>
      </c>
      <c r="J231" s="363">
        <f>+'11'!P292</f>
        <v>9</v>
      </c>
      <c r="K231" s="523"/>
      <c r="L231" s="524"/>
      <c r="M231" s="361"/>
      <c r="N231" s="362"/>
      <c r="O231" s="365">
        <f>+'11'!U292</f>
        <v>752.33299999999997</v>
      </c>
      <c r="P231" s="433">
        <f>+'11'!AG292</f>
        <v>186.32093</v>
      </c>
      <c r="Q231" s="436">
        <f t="shared" si="4"/>
        <v>24.765752665375572</v>
      </c>
    </row>
    <row r="232" spans="2:17" ht="13.5" thickBot="1" x14ac:dyDescent="0.25">
      <c r="B232" s="521" t="str">
        <f>+'11'!B293:M293</f>
        <v>Руководство и управление в сфере установленных функций органов государственной власти Республики Тыва</v>
      </c>
      <c r="C232" s="521"/>
      <c r="D232" s="521"/>
      <c r="E232" s="521"/>
      <c r="F232" s="522"/>
      <c r="G232" s="366" t="str">
        <f>+'11'!Q293</f>
        <v>0760120419</v>
      </c>
      <c r="H232" s="363">
        <f>+'11'!R293</f>
        <v>0</v>
      </c>
      <c r="I232" s="363">
        <f>+'11'!O293</f>
        <v>7</v>
      </c>
      <c r="J232" s="363">
        <f>+'11'!P293</f>
        <v>9</v>
      </c>
      <c r="K232" s="523"/>
      <c r="L232" s="524"/>
      <c r="M232" s="361"/>
      <c r="N232" s="362"/>
      <c r="O232" s="365">
        <f>+'11'!U293</f>
        <v>752.33299999999997</v>
      </c>
      <c r="P232" s="433">
        <f>+'11'!AG293</f>
        <v>186.32093</v>
      </c>
      <c r="Q232" s="436">
        <f t="shared" si="4"/>
        <v>24.765752665375572</v>
      </c>
    </row>
    <row r="233" spans="2:17" ht="13.5" thickBot="1" x14ac:dyDescent="0.25">
      <c r="B233" s="521" t="str">
        <f>+'11'!B294:M294</f>
        <v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v>
      </c>
      <c r="C233" s="521"/>
      <c r="D233" s="521"/>
      <c r="E233" s="521"/>
      <c r="F233" s="522"/>
      <c r="G233" s="366" t="str">
        <f>+'11'!Q294</f>
        <v>0760120419</v>
      </c>
      <c r="H233" s="363" t="str">
        <f>+'11'!R294</f>
        <v>100</v>
      </c>
      <c r="I233" s="363">
        <f>+'11'!O294</f>
        <v>7</v>
      </c>
      <c r="J233" s="363">
        <f>+'11'!P294</f>
        <v>9</v>
      </c>
      <c r="K233" s="523"/>
      <c r="L233" s="524"/>
      <c r="M233" s="361"/>
      <c r="N233" s="362"/>
      <c r="O233" s="365">
        <f>+'11'!U294</f>
        <v>752.33299999999997</v>
      </c>
      <c r="P233" s="433">
        <f>+'11'!AG294</f>
        <v>186.32093</v>
      </c>
      <c r="Q233" s="436">
        <f t="shared" si="4"/>
        <v>24.765752665375572</v>
      </c>
    </row>
    <row r="234" spans="2:17" ht="13.5" thickBot="1" x14ac:dyDescent="0.25">
      <c r="B234" s="521" t="str">
        <f>+'11'!B295:M295</f>
        <v>Расходы на выплаты персоналу государственных (муниципальных) органов</v>
      </c>
      <c r="C234" s="521"/>
      <c r="D234" s="521"/>
      <c r="E234" s="521"/>
      <c r="F234" s="522"/>
      <c r="G234" s="366" t="str">
        <f>+'11'!Q295</f>
        <v>0760120419</v>
      </c>
      <c r="H234" s="363" t="str">
        <f>+'11'!R295</f>
        <v>120</v>
      </c>
      <c r="I234" s="363">
        <f>+'11'!O295</f>
        <v>7</v>
      </c>
      <c r="J234" s="363">
        <f>+'11'!P295</f>
        <v>9</v>
      </c>
      <c r="K234" s="523"/>
      <c r="L234" s="524"/>
      <c r="M234" s="361"/>
      <c r="N234" s="362"/>
      <c r="O234" s="365">
        <f>+'11'!U295</f>
        <v>752.33299999999997</v>
      </c>
      <c r="P234" s="433">
        <f>+'11'!AG295</f>
        <v>186.32093</v>
      </c>
      <c r="Q234" s="436">
        <f t="shared" si="4"/>
        <v>24.765752665375572</v>
      </c>
    </row>
    <row r="235" spans="2:17" ht="13.5" thickBot="1" x14ac:dyDescent="0.25">
      <c r="B235" s="521" t="str">
        <f>+'11'!B296:M296</f>
        <v>Фонд оплаты труда государственных (муниципальных) органов</v>
      </c>
      <c r="C235" s="521"/>
      <c r="D235" s="521"/>
      <c r="E235" s="521"/>
      <c r="F235" s="522"/>
      <c r="G235" s="366" t="str">
        <f>+'11'!Q296</f>
        <v>0760120419</v>
      </c>
      <c r="H235" s="363" t="str">
        <f>+'11'!R296</f>
        <v>121</v>
      </c>
      <c r="I235" s="363">
        <f>+'11'!O296</f>
        <v>7</v>
      </c>
      <c r="J235" s="363">
        <f>+'11'!P296</f>
        <v>9</v>
      </c>
      <c r="K235" s="523"/>
      <c r="L235" s="524"/>
      <c r="M235" s="361"/>
      <c r="N235" s="362"/>
      <c r="O235" s="365">
        <f>+'11'!U296</f>
        <v>577.82899999999995</v>
      </c>
      <c r="P235" s="433">
        <f>+'11'!AG296</f>
        <v>143.10363000000001</v>
      </c>
      <c r="Q235" s="436">
        <f t="shared" si="4"/>
        <v>24.76574038340063</v>
      </c>
    </row>
    <row r="236" spans="2:17" ht="13.5" thickBot="1" x14ac:dyDescent="0.25">
      <c r="B236" s="521" t="str">
        <f>+'11'!B297:M297</f>
        <v>Взносы по обязательному социальному страхованию на выплаты денежного содержания и иные выплаты работникам государственных (муниципальных) органов</v>
      </c>
      <c r="C236" s="521"/>
      <c r="D236" s="521"/>
      <c r="E236" s="521"/>
      <c r="F236" s="522"/>
      <c r="G236" s="366" t="str">
        <f>+'11'!Q297</f>
        <v>0760120419</v>
      </c>
      <c r="H236" s="363" t="str">
        <f>+'11'!R297</f>
        <v>129</v>
      </c>
      <c r="I236" s="363">
        <f>+'11'!O297</f>
        <v>7</v>
      </c>
      <c r="J236" s="363">
        <f>+'11'!P297</f>
        <v>9</v>
      </c>
      <c r="K236" s="523"/>
      <c r="L236" s="524"/>
      <c r="M236" s="361"/>
      <c r="N236" s="362"/>
      <c r="O236" s="365">
        <f>+'11'!U297</f>
        <v>174.50399999999999</v>
      </c>
      <c r="P236" s="433">
        <f>+'11'!AG297</f>
        <v>43.217300000000002</v>
      </c>
      <c r="Q236" s="436">
        <f t="shared" si="4"/>
        <v>24.765793334250219</v>
      </c>
    </row>
    <row r="237" spans="2:17" ht="13.5" thickBot="1" x14ac:dyDescent="0.25">
      <c r="B237" s="521" t="str">
        <f>+'11'!B298:M298</f>
        <v xml:space="preserve">Муниципальная программа "Развитие образования Овюрского кожууна </v>
      </c>
      <c r="C237" s="521"/>
      <c r="D237" s="521"/>
      <c r="E237" s="521"/>
      <c r="F237" s="522"/>
      <c r="G237" s="366" t="str">
        <f>+'11'!Q298</f>
        <v>0700000000</v>
      </c>
      <c r="H237" s="363">
        <f>+'11'!R298</f>
        <v>0</v>
      </c>
      <c r="I237" s="363">
        <f>+'11'!O298</f>
        <v>7</v>
      </c>
      <c r="J237" s="363">
        <f>+'11'!P298</f>
        <v>9</v>
      </c>
      <c r="K237" s="523"/>
      <c r="L237" s="524"/>
      <c r="M237" s="361"/>
      <c r="N237" s="362"/>
      <c r="O237" s="365">
        <f>+'11'!U298</f>
        <v>16563.420999999998</v>
      </c>
      <c r="P237" s="433">
        <f>+'11'!AG298</f>
        <v>4500.1762099999996</v>
      </c>
      <c r="Q237" s="436">
        <f t="shared" si="4"/>
        <v>27.169364408475762</v>
      </c>
    </row>
    <row r="238" spans="2:17" ht="13.5" thickBot="1" x14ac:dyDescent="0.25">
      <c r="B238" s="521" t="str">
        <f>+'11'!B299:M299</f>
        <v>подпрограмма "Обеспечение реализации муниципальной программы и прочие мероприятия в сфере образования"</v>
      </c>
      <c r="C238" s="521"/>
      <c r="D238" s="521"/>
      <c r="E238" s="521"/>
      <c r="F238" s="522"/>
      <c r="G238" s="366" t="str">
        <f>+'11'!Q299</f>
        <v>0760000000</v>
      </c>
      <c r="H238" s="363">
        <f>+'11'!R299</f>
        <v>0</v>
      </c>
      <c r="I238" s="363">
        <f>+'11'!O299</f>
        <v>7</v>
      </c>
      <c r="J238" s="363">
        <f>+'11'!P299</f>
        <v>9</v>
      </c>
      <c r="K238" s="523"/>
      <c r="L238" s="524"/>
      <c r="M238" s="361"/>
      <c r="N238" s="362"/>
      <c r="O238" s="365">
        <f>+'11'!U299</f>
        <v>16563.420999999998</v>
      </c>
      <c r="P238" s="433">
        <f>+'11'!AG299</f>
        <v>4500.1762099999996</v>
      </c>
      <c r="Q238" s="436">
        <f t="shared" si="4"/>
        <v>27.169364408475762</v>
      </c>
    </row>
    <row r="239" spans="2:17" ht="13.5" thickBot="1" x14ac:dyDescent="0.25">
      <c r="B239" s="521" t="str">
        <f>+'11'!B300:M300</f>
        <v>Обеспечение деятельности органов местного самоуправления</v>
      </c>
      <c r="C239" s="521"/>
      <c r="D239" s="521"/>
      <c r="E239" s="521"/>
      <c r="F239" s="522"/>
      <c r="G239" s="366" t="str">
        <f>+'11'!Q300</f>
        <v>0760200019</v>
      </c>
      <c r="H239" s="363">
        <f>+'11'!R300</f>
        <v>0</v>
      </c>
      <c r="I239" s="363">
        <f>+'11'!O300</f>
        <v>7</v>
      </c>
      <c r="J239" s="363">
        <f>+'11'!P300</f>
        <v>9</v>
      </c>
      <c r="K239" s="523"/>
      <c r="L239" s="524"/>
      <c r="M239" s="361"/>
      <c r="N239" s="362"/>
      <c r="O239" s="365">
        <f>+'11'!U300</f>
        <v>16563.420999999998</v>
      </c>
      <c r="P239" s="433">
        <f>+'11'!AG300</f>
        <v>4500.1762099999996</v>
      </c>
      <c r="Q239" s="436">
        <f t="shared" si="4"/>
        <v>27.169364408475762</v>
      </c>
    </row>
    <row r="240" spans="2:17" ht="13.5" thickBot="1" x14ac:dyDescent="0.25">
      <c r="B240" s="521" t="str">
        <f>+'11'!B301:M301</f>
        <v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v>
      </c>
      <c r="C240" s="521"/>
      <c r="D240" s="521"/>
      <c r="E240" s="521"/>
      <c r="F240" s="522"/>
      <c r="G240" s="366" t="str">
        <f>+'11'!Q301</f>
        <v>0760200019</v>
      </c>
      <c r="H240" s="363" t="str">
        <f>+'11'!R301</f>
        <v>100</v>
      </c>
      <c r="I240" s="363">
        <f>+'11'!O301</f>
        <v>7</v>
      </c>
      <c r="J240" s="363">
        <f>+'11'!P301</f>
        <v>9</v>
      </c>
      <c r="K240" s="523"/>
      <c r="L240" s="524"/>
      <c r="M240" s="361"/>
      <c r="N240" s="362"/>
      <c r="O240" s="365">
        <f>+'11'!U301</f>
        <v>15279</v>
      </c>
      <c r="P240" s="433">
        <f>+'11'!AG301</f>
        <v>3934.0141400000002</v>
      </c>
      <c r="Q240" s="436">
        <f t="shared" si="4"/>
        <v>25.747850906472934</v>
      </c>
    </row>
    <row r="241" spans="2:17" ht="13.5" thickBot="1" x14ac:dyDescent="0.25">
      <c r="B241" s="521" t="str">
        <f>+'11'!B302:M302</f>
        <v>Расходы на выплаты персоналу казенных учреждений</v>
      </c>
      <c r="C241" s="521"/>
      <c r="D241" s="521"/>
      <c r="E241" s="521"/>
      <c r="F241" s="522"/>
      <c r="G241" s="366" t="str">
        <f>+'11'!Q302</f>
        <v>0760200019</v>
      </c>
      <c r="H241" s="363" t="str">
        <f>+'11'!R302</f>
        <v>110</v>
      </c>
      <c r="I241" s="363">
        <f>+'11'!O302</f>
        <v>7</v>
      </c>
      <c r="J241" s="363">
        <f>+'11'!P302</f>
        <v>9</v>
      </c>
      <c r="K241" s="523"/>
      <c r="L241" s="524"/>
      <c r="M241" s="361"/>
      <c r="N241" s="362"/>
      <c r="O241" s="365">
        <f>+'11'!U302</f>
        <v>15279</v>
      </c>
      <c r="P241" s="433">
        <f>+'11'!AG302</f>
        <v>3934.0141400000002</v>
      </c>
      <c r="Q241" s="436">
        <f t="shared" si="4"/>
        <v>25.747850906472934</v>
      </c>
    </row>
    <row r="242" spans="2:17" ht="13.5" thickBot="1" x14ac:dyDescent="0.25">
      <c r="B242" s="521" t="str">
        <f>+'11'!B303:M303</f>
        <v>Фонд оплаты труда учреждений</v>
      </c>
      <c r="C242" s="521"/>
      <c r="D242" s="521"/>
      <c r="E242" s="521"/>
      <c r="F242" s="522"/>
      <c r="G242" s="366" t="str">
        <f>+'11'!Q303</f>
        <v>0760200019</v>
      </c>
      <c r="H242" s="363" t="str">
        <f>+'11'!R303</f>
        <v>111</v>
      </c>
      <c r="I242" s="363">
        <f>+'11'!O303</f>
        <v>7</v>
      </c>
      <c r="J242" s="363">
        <f>+'11'!P303</f>
        <v>9</v>
      </c>
      <c r="K242" s="523"/>
      <c r="L242" s="524"/>
      <c r="M242" s="361"/>
      <c r="N242" s="362"/>
      <c r="O242" s="365">
        <f>+'11'!U303</f>
        <v>11735.022999999999</v>
      </c>
      <c r="P242" s="433">
        <f>+'11'!AG303</f>
        <v>3025.3278500000001</v>
      </c>
      <c r="Q242" s="436">
        <f t="shared" si="4"/>
        <v>25.780331661897897</v>
      </c>
    </row>
    <row r="243" spans="2:17" ht="13.5" thickBot="1" x14ac:dyDescent="0.25">
      <c r="B243" s="521" t="str">
        <f>+'11'!B304:M304</f>
        <v>Взносы по обязательному социальному страхованию на выплаты по оплате труда работников и иные выплаты работникам учреждений</v>
      </c>
      <c r="C243" s="521"/>
      <c r="D243" s="521"/>
      <c r="E243" s="521"/>
      <c r="F243" s="522"/>
      <c r="G243" s="366" t="str">
        <f>+'11'!Q304</f>
        <v>0760200019</v>
      </c>
      <c r="H243" s="363" t="str">
        <f>+'11'!R304</f>
        <v>119</v>
      </c>
      <c r="I243" s="363">
        <f>+'11'!O304</f>
        <v>7</v>
      </c>
      <c r="J243" s="363">
        <f>+'11'!P304</f>
        <v>9</v>
      </c>
      <c r="K243" s="523"/>
      <c r="L243" s="524"/>
      <c r="M243" s="361"/>
      <c r="N243" s="362"/>
      <c r="O243" s="365">
        <f>+'11'!U304</f>
        <v>3543.9769999999999</v>
      </c>
      <c r="P243" s="433">
        <f>+'11'!AG304</f>
        <v>908.68628999999999</v>
      </c>
      <c r="Q243" s="436">
        <f t="shared" si="4"/>
        <v>25.64029873783041</v>
      </c>
    </row>
    <row r="244" spans="2:17" ht="13.5" thickBot="1" x14ac:dyDescent="0.25">
      <c r="B244" s="521" t="str">
        <f>+'11'!B305:M305</f>
        <v>Закупка товаров, работ и услуг для обеспечения государственных (муниципальных) нужд</v>
      </c>
      <c r="C244" s="521"/>
      <c r="D244" s="521"/>
      <c r="E244" s="521"/>
      <c r="F244" s="522"/>
      <c r="G244" s="366" t="str">
        <f>+'11'!Q305</f>
        <v>0760200019</v>
      </c>
      <c r="H244" s="363" t="str">
        <f>+'11'!R305</f>
        <v>200</v>
      </c>
      <c r="I244" s="363">
        <f>+'11'!O305</f>
        <v>7</v>
      </c>
      <c r="J244" s="363">
        <f>+'11'!P305</f>
        <v>9</v>
      </c>
      <c r="K244" s="523"/>
      <c r="L244" s="524"/>
      <c r="M244" s="361"/>
      <c r="N244" s="362"/>
      <c r="O244" s="365">
        <f>+'11'!U305</f>
        <v>1231.421</v>
      </c>
      <c r="P244" s="433">
        <f>+'11'!AG305</f>
        <v>548.72685999999999</v>
      </c>
      <c r="Q244" s="436">
        <f t="shared" si="4"/>
        <v>44.56045982649313</v>
      </c>
    </row>
    <row r="245" spans="2:17" ht="13.5" thickBot="1" x14ac:dyDescent="0.25">
      <c r="B245" s="521" t="str">
        <f>+'11'!B306:M306</f>
        <v>Иные закупки товаров, работ и услуг для обеспечения государственных (муниципальных) нужд</v>
      </c>
      <c r="C245" s="521"/>
      <c r="D245" s="521"/>
      <c r="E245" s="521"/>
      <c r="F245" s="522"/>
      <c r="G245" s="366" t="str">
        <f>+'11'!Q306</f>
        <v>0760200019</v>
      </c>
      <c r="H245" s="363" t="str">
        <f>+'11'!R306</f>
        <v>240</v>
      </c>
      <c r="I245" s="363">
        <f>+'11'!O306</f>
        <v>7</v>
      </c>
      <c r="J245" s="363">
        <f>+'11'!P306</f>
        <v>9</v>
      </c>
      <c r="K245" s="523"/>
      <c r="L245" s="524"/>
      <c r="M245" s="361"/>
      <c r="N245" s="362"/>
      <c r="O245" s="365">
        <f>+'11'!U306</f>
        <v>1231.421</v>
      </c>
      <c r="P245" s="433">
        <f>+'11'!AG306</f>
        <v>548.72685999999999</v>
      </c>
      <c r="Q245" s="436">
        <f t="shared" si="4"/>
        <v>44.56045982649313</v>
      </c>
    </row>
    <row r="246" spans="2:17" ht="13.5" thickBot="1" x14ac:dyDescent="0.25">
      <c r="B246" s="521" t="str">
        <f>+'11'!B307:M307</f>
        <v>Закупка товаров, работ, услуг в сфере информационно-коммуникационных технологий</v>
      </c>
      <c r="C246" s="521"/>
      <c r="D246" s="521"/>
      <c r="E246" s="521"/>
      <c r="F246" s="522"/>
      <c r="G246" s="366" t="str">
        <f>+'11'!Q307</f>
        <v>0760200019</v>
      </c>
      <c r="H246" s="363" t="str">
        <f>+'11'!R307</f>
        <v>242</v>
      </c>
      <c r="I246" s="363">
        <f>+'11'!O307</f>
        <v>7</v>
      </c>
      <c r="J246" s="363">
        <f>+'11'!P307</f>
        <v>9</v>
      </c>
      <c r="K246" s="523"/>
      <c r="L246" s="524"/>
      <c r="M246" s="361"/>
      <c r="N246" s="362"/>
      <c r="O246" s="365">
        <f>+'11'!U307</f>
        <v>299.2</v>
      </c>
      <c r="P246" s="433">
        <f>+'11'!AG307</f>
        <v>175.29302000000001</v>
      </c>
      <c r="Q246" s="436">
        <f t="shared" si="4"/>
        <v>58.58723930481284</v>
      </c>
    </row>
    <row r="247" spans="2:17" ht="13.5" thickBot="1" x14ac:dyDescent="0.25">
      <c r="B247" s="521" t="str">
        <f>+'11'!B308:M308</f>
        <v>Прочая закупка товаров, работ и услуг</v>
      </c>
      <c r="C247" s="521"/>
      <c r="D247" s="521"/>
      <c r="E247" s="521"/>
      <c r="F247" s="522"/>
      <c r="G247" s="366" t="str">
        <f>+'11'!Q308</f>
        <v>0760200019</v>
      </c>
      <c r="H247" s="363" t="str">
        <f>+'11'!R308</f>
        <v>244</v>
      </c>
      <c r="I247" s="363">
        <f>+'11'!O308</f>
        <v>7</v>
      </c>
      <c r="J247" s="363">
        <f>+'11'!P308</f>
        <v>9</v>
      </c>
      <c r="K247" s="523"/>
      <c r="L247" s="524"/>
      <c r="M247" s="361"/>
      <c r="N247" s="362"/>
      <c r="O247" s="365">
        <f>+'11'!U308</f>
        <v>932.221</v>
      </c>
      <c r="P247" s="433">
        <f>+'11'!AG308</f>
        <v>373.43383999999998</v>
      </c>
      <c r="Q247" s="436">
        <f t="shared" si="4"/>
        <v>40.058509731061626</v>
      </c>
    </row>
    <row r="248" spans="2:17" ht="13.5" thickBot="1" x14ac:dyDescent="0.25">
      <c r="B248" s="521" t="str">
        <f>+'11'!B309:M309</f>
        <v>Иные бюджетные ассигнования</v>
      </c>
      <c r="C248" s="521"/>
      <c r="D248" s="521"/>
      <c r="E248" s="521"/>
      <c r="F248" s="522"/>
      <c r="G248" s="366" t="str">
        <f>+'11'!Q309</f>
        <v>0760200019</v>
      </c>
      <c r="H248" s="363" t="str">
        <f>+'11'!R309</f>
        <v>800</v>
      </c>
      <c r="I248" s="363">
        <f>+'11'!O309</f>
        <v>7</v>
      </c>
      <c r="J248" s="363">
        <f>+'11'!P309</f>
        <v>9</v>
      </c>
      <c r="K248" s="523"/>
      <c r="L248" s="524"/>
      <c r="M248" s="361"/>
      <c r="N248" s="362"/>
      <c r="O248" s="365">
        <f>+'11'!U309</f>
        <v>53</v>
      </c>
      <c r="P248" s="433">
        <f>+'11'!AG309</f>
        <v>17.435210000000001</v>
      </c>
      <c r="Q248" s="436">
        <f t="shared" si="4"/>
        <v>32.896622641509438</v>
      </c>
    </row>
    <row r="249" spans="2:17" ht="13.5" thickBot="1" x14ac:dyDescent="0.25">
      <c r="B249" s="521" t="str">
        <f>+'11'!B310:M310</f>
        <v>Уплата налогов, сборов и иных платежей</v>
      </c>
      <c r="C249" s="521"/>
      <c r="D249" s="521"/>
      <c r="E249" s="521"/>
      <c r="F249" s="522"/>
      <c r="G249" s="366" t="str">
        <f>+'11'!Q310</f>
        <v>0760200019</v>
      </c>
      <c r="H249" s="363" t="str">
        <f>+'11'!R310</f>
        <v>850</v>
      </c>
      <c r="I249" s="363">
        <f>+'11'!O310</f>
        <v>7</v>
      </c>
      <c r="J249" s="363">
        <f>+'11'!P310</f>
        <v>9</v>
      </c>
      <c r="K249" s="523"/>
      <c r="L249" s="524"/>
      <c r="M249" s="361"/>
      <c r="N249" s="362"/>
      <c r="O249" s="365">
        <f>+'11'!U310</f>
        <v>53</v>
      </c>
      <c r="P249" s="433">
        <f>+'11'!AG310</f>
        <v>17.435210000000001</v>
      </c>
      <c r="Q249" s="436">
        <f t="shared" si="4"/>
        <v>32.896622641509438</v>
      </c>
    </row>
    <row r="250" spans="2:17" ht="13.5" thickBot="1" x14ac:dyDescent="0.25">
      <c r="B250" s="521" t="str">
        <f>+'11'!B311:M311</f>
        <v>Уплата налога на имущество организаций и земельного налога</v>
      </c>
      <c r="C250" s="521"/>
      <c r="D250" s="521"/>
      <c r="E250" s="521"/>
      <c r="F250" s="522"/>
      <c r="G250" s="366" t="str">
        <f>+'11'!Q311</f>
        <v>0760200019</v>
      </c>
      <c r="H250" s="363" t="str">
        <f>+'11'!R311</f>
        <v>851</v>
      </c>
      <c r="I250" s="363">
        <f>+'11'!O311</f>
        <v>7</v>
      </c>
      <c r="J250" s="363">
        <f>+'11'!P311</f>
        <v>9</v>
      </c>
      <c r="K250" s="523"/>
      <c r="L250" s="524"/>
      <c r="M250" s="361"/>
      <c r="N250" s="362"/>
      <c r="O250" s="365">
        <f>+'11'!U311</f>
        <v>33</v>
      </c>
      <c r="P250" s="433">
        <f>+'11'!AG311</f>
        <v>7.2750000000000004</v>
      </c>
      <c r="Q250" s="436">
        <f t="shared" si="4"/>
        <v>22.045454545454547</v>
      </c>
    </row>
    <row r="251" spans="2:17" ht="13.5" thickBot="1" x14ac:dyDescent="0.25">
      <c r="B251" s="521" t="str">
        <f>+'11'!B312:M312</f>
        <v>Уплата прочих налогов, сборов</v>
      </c>
      <c r="C251" s="521"/>
      <c r="D251" s="521"/>
      <c r="E251" s="521"/>
      <c r="F251" s="522"/>
      <c r="G251" s="366" t="str">
        <f>+'11'!Q312</f>
        <v>0760200019</v>
      </c>
      <c r="H251" s="363" t="str">
        <f>+'11'!R312</f>
        <v>852</v>
      </c>
      <c r="I251" s="363">
        <f>+'11'!O312</f>
        <v>7</v>
      </c>
      <c r="J251" s="363">
        <f>+'11'!P312</f>
        <v>9</v>
      </c>
      <c r="K251" s="523"/>
      <c r="L251" s="524"/>
      <c r="M251" s="361"/>
      <c r="N251" s="362"/>
      <c r="O251" s="365">
        <f>+'11'!U312</f>
        <v>6</v>
      </c>
      <c r="P251" s="433">
        <f>+'11'!AG312</f>
        <v>6</v>
      </c>
      <c r="Q251" s="436">
        <f t="shared" si="4"/>
        <v>100</v>
      </c>
    </row>
    <row r="252" spans="2:17" ht="13.5" thickBot="1" x14ac:dyDescent="0.25">
      <c r="B252" s="521" t="str">
        <f>+'11'!B313:M313</f>
        <v>Уплата иных платежей</v>
      </c>
      <c r="C252" s="521"/>
      <c r="D252" s="521"/>
      <c r="E252" s="521"/>
      <c r="F252" s="522"/>
      <c r="G252" s="366" t="str">
        <f>+'11'!Q313</f>
        <v>0760200019</v>
      </c>
      <c r="H252" s="363" t="str">
        <f>+'11'!R313</f>
        <v>853</v>
      </c>
      <c r="I252" s="363">
        <f>+'11'!O313</f>
        <v>7</v>
      </c>
      <c r="J252" s="363">
        <f>+'11'!P313</f>
        <v>9</v>
      </c>
      <c r="K252" s="523"/>
      <c r="L252" s="524"/>
      <c r="M252" s="361"/>
      <c r="N252" s="362"/>
      <c r="O252" s="365">
        <f>+'11'!U313</f>
        <v>14</v>
      </c>
      <c r="P252" s="433">
        <f>+'11'!AG313</f>
        <v>4.1602100000000002</v>
      </c>
      <c r="Q252" s="436">
        <f t="shared" si="4"/>
        <v>29.715785714285715</v>
      </c>
    </row>
    <row r="253" spans="2:17" ht="13.5" thickBot="1" x14ac:dyDescent="0.25">
      <c r="B253" s="521" t="str">
        <f>+'11'!B314:M314</f>
        <v>СОЦИАЛЬНАЯ ПОЛИТИКА</v>
      </c>
      <c r="C253" s="521"/>
      <c r="D253" s="521"/>
      <c r="E253" s="521"/>
      <c r="F253" s="522"/>
      <c r="G253" s="366">
        <f>+'11'!Q314</f>
        <v>0</v>
      </c>
      <c r="H253" s="363">
        <f>+'11'!R314</f>
        <v>0</v>
      </c>
      <c r="I253" s="363">
        <f>+'11'!O314</f>
        <v>10</v>
      </c>
      <c r="J253" s="363">
        <f>+'11'!P314</f>
        <v>0</v>
      </c>
      <c r="K253" s="523"/>
      <c r="L253" s="524"/>
      <c r="M253" s="361"/>
      <c r="N253" s="362"/>
      <c r="O253" s="365">
        <f>+'11'!U314</f>
        <v>4743.5</v>
      </c>
      <c r="P253" s="433">
        <f>+'11'!AG314</f>
        <v>779.09100000000001</v>
      </c>
      <c r="Q253" s="436">
        <f t="shared" si="4"/>
        <v>16.424391272267314</v>
      </c>
    </row>
    <row r="254" spans="2:17" ht="13.5" thickBot="1" x14ac:dyDescent="0.25">
      <c r="B254" s="521" t="str">
        <f>+'11'!B315:M315</f>
        <v>Социальное обеспечение населения</v>
      </c>
      <c r="C254" s="521"/>
      <c r="D254" s="521"/>
      <c r="E254" s="521"/>
      <c r="F254" s="522"/>
      <c r="G254" s="366">
        <f>+'11'!Q315</f>
        <v>0</v>
      </c>
      <c r="H254" s="363">
        <f>+'11'!R315</f>
        <v>0</v>
      </c>
      <c r="I254" s="363">
        <f>+'11'!O315</f>
        <v>10</v>
      </c>
      <c r="J254" s="363">
        <f>+'11'!P315</f>
        <v>3</v>
      </c>
      <c r="K254" s="523"/>
      <c r="L254" s="524"/>
      <c r="M254" s="361"/>
      <c r="N254" s="362"/>
      <c r="O254" s="365">
        <f>+'11'!U315</f>
        <v>1042.3</v>
      </c>
      <c r="P254" s="433">
        <f>+'11'!AG315</f>
        <v>0</v>
      </c>
      <c r="Q254" s="436">
        <f t="shared" si="4"/>
        <v>0</v>
      </c>
    </row>
    <row r="255" spans="2:17" ht="13.5" thickBot="1" x14ac:dyDescent="0.25">
      <c r="B255" s="521" t="str">
        <f>+'11'!B316:M316</f>
        <v xml:space="preserve">Муниципальная программа "Развитие образования Овюрского кожууна </v>
      </c>
      <c r="C255" s="521"/>
      <c r="D255" s="521"/>
      <c r="E255" s="521"/>
      <c r="F255" s="522"/>
      <c r="G255" s="366" t="str">
        <f>+'11'!Q316</f>
        <v>0700000000</v>
      </c>
      <c r="H255" s="363">
        <f>+'11'!R316</f>
        <v>0</v>
      </c>
      <c r="I255" s="363">
        <f>+'11'!O316</f>
        <v>10</v>
      </c>
      <c r="J255" s="363">
        <f>+'11'!P316</f>
        <v>3</v>
      </c>
      <c r="K255" s="523"/>
      <c r="L255" s="524"/>
      <c r="M255" s="361"/>
      <c r="N255" s="362"/>
      <c r="O255" s="365">
        <f>+'11'!U316</f>
        <v>1042.3</v>
      </c>
      <c r="P255" s="433">
        <f>+'11'!AG316</f>
        <v>0</v>
      </c>
      <c r="Q255" s="436">
        <f t="shared" si="4"/>
        <v>0</v>
      </c>
    </row>
    <row r="256" spans="2:17" ht="13.5" thickBot="1" x14ac:dyDescent="0.25">
      <c r="B256" s="521" t="str">
        <f>+'11'!B317:M317</f>
        <v>подпрограмма "Социальная поддержка по оплате коммунальных услуг педагогическим работникам работающим и проживающим в сельской местности"</v>
      </c>
      <c r="C256" s="521"/>
      <c r="D256" s="521"/>
      <c r="E256" s="521"/>
      <c r="F256" s="522"/>
      <c r="G256" s="366" t="str">
        <f>+'11'!Q317</f>
        <v>0770000000</v>
      </c>
      <c r="H256" s="363">
        <f>+'11'!R317</f>
        <v>0</v>
      </c>
      <c r="I256" s="363">
        <f>+'11'!O317</f>
        <v>10</v>
      </c>
      <c r="J256" s="363">
        <f>+'11'!P317</f>
        <v>3</v>
      </c>
      <c r="K256" s="523"/>
      <c r="L256" s="524"/>
      <c r="M256" s="361"/>
      <c r="N256" s="362"/>
      <c r="O256" s="365">
        <f>+'11'!U317</f>
        <v>1042.3</v>
      </c>
      <c r="P256" s="433">
        <f>+'11'!AG317</f>
        <v>0</v>
      </c>
      <c r="Q256" s="436">
        <f t="shared" si="4"/>
        <v>0</v>
      </c>
    </row>
    <row r="257" spans="2:17" ht="13.5" thickBot="1" x14ac:dyDescent="0.25">
      <c r="B257" s="521" t="str">
        <f>+'11'!B318:M318</f>
        <v>Предоставление субсидий государственным (муниципальным) бюджетным, автономным учреждениям и иным некоммерческим организациям</v>
      </c>
      <c r="C257" s="521"/>
      <c r="D257" s="521"/>
      <c r="E257" s="521"/>
      <c r="F257" s="522"/>
      <c r="G257" s="366" t="str">
        <f>+'11'!Q318</f>
        <v>0770176140</v>
      </c>
      <c r="H257" s="363">
        <f>+'11'!R318</f>
        <v>0</v>
      </c>
      <c r="I257" s="363">
        <f>+'11'!O318</f>
        <v>10</v>
      </c>
      <c r="J257" s="363">
        <f>+'11'!P318</f>
        <v>3</v>
      </c>
      <c r="K257" s="523"/>
      <c r="L257" s="524"/>
      <c r="M257" s="361"/>
      <c r="N257" s="362"/>
      <c r="O257" s="365">
        <f>+'11'!U318</f>
        <v>1042.3</v>
      </c>
      <c r="P257" s="433">
        <f>+'11'!AG318</f>
        <v>0</v>
      </c>
      <c r="Q257" s="436">
        <f t="shared" si="4"/>
        <v>0</v>
      </c>
    </row>
    <row r="258" spans="2:17" ht="13.5" thickBot="1" x14ac:dyDescent="0.25">
      <c r="B258" s="521" t="str">
        <f>+'11'!B319:M319</f>
        <v>Предоставление субсидий бюджетным, автономным учреждениям и иным некоммерческим организациям</v>
      </c>
      <c r="C258" s="521"/>
      <c r="D258" s="521"/>
      <c r="E258" s="521"/>
      <c r="F258" s="522"/>
      <c r="G258" s="366" t="str">
        <f>+'11'!Q319</f>
        <v>0770176140</v>
      </c>
      <c r="H258" s="363" t="str">
        <f>+'11'!R319</f>
        <v>600</v>
      </c>
      <c r="I258" s="363">
        <f>+'11'!O319</f>
        <v>10</v>
      </c>
      <c r="J258" s="363">
        <f>+'11'!P319</f>
        <v>3</v>
      </c>
      <c r="K258" s="523"/>
      <c r="L258" s="524"/>
      <c r="M258" s="361"/>
      <c r="N258" s="362"/>
      <c r="O258" s="365">
        <f>+'11'!U319</f>
        <v>1042.3</v>
      </c>
      <c r="P258" s="433">
        <f>+'11'!AG319</f>
        <v>0</v>
      </c>
      <c r="Q258" s="436">
        <f t="shared" si="4"/>
        <v>0</v>
      </c>
    </row>
    <row r="259" spans="2:17" ht="13.5" thickBot="1" x14ac:dyDescent="0.25">
      <c r="B259" s="521" t="str">
        <f>+'11'!B320:M320</f>
        <v>Субсидии бюджетным учреждениям</v>
      </c>
      <c r="C259" s="521"/>
      <c r="D259" s="521"/>
      <c r="E259" s="521"/>
      <c r="F259" s="522"/>
      <c r="G259" s="366" t="str">
        <f>+'11'!Q320</f>
        <v>0770176140</v>
      </c>
      <c r="H259" s="363" t="str">
        <f>+'11'!R320</f>
        <v>610</v>
      </c>
      <c r="I259" s="363">
        <f>+'11'!O320</f>
        <v>10</v>
      </c>
      <c r="J259" s="363">
        <f>+'11'!P320</f>
        <v>3</v>
      </c>
      <c r="K259" s="523"/>
      <c r="L259" s="524"/>
      <c r="M259" s="361"/>
      <c r="N259" s="362"/>
      <c r="O259" s="365">
        <f>+'11'!U320</f>
        <v>1042.3</v>
      </c>
      <c r="P259" s="433">
        <f>+'11'!AG320</f>
        <v>0</v>
      </c>
      <c r="Q259" s="436">
        <f t="shared" si="4"/>
        <v>0</v>
      </c>
    </row>
    <row r="260" spans="2:17" ht="13.5" thickBot="1" x14ac:dyDescent="0.25">
      <c r="B260" s="521" t="str">
        <f>+'11'!B321:M321</f>
        <v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v>
      </c>
      <c r="C260" s="521"/>
      <c r="D260" s="521"/>
      <c r="E260" s="521"/>
      <c r="F260" s="522"/>
      <c r="G260" s="366" t="str">
        <f>+'11'!Q321</f>
        <v>0770176140</v>
      </c>
      <c r="H260" s="363" t="str">
        <f>+'11'!R321</f>
        <v>611</v>
      </c>
      <c r="I260" s="363">
        <f>+'11'!O321</f>
        <v>10</v>
      </c>
      <c r="J260" s="363">
        <f>+'11'!P321</f>
        <v>3</v>
      </c>
      <c r="K260" s="523"/>
      <c r="L260" s="524"/>
      <c r="M260" s="361"/>
      <c r="N260" s="362"/>
      <c r="O260" s="365">
        <f>+'11'!U321</f>
        <v>1042.3</v>
      </c>
      <c r="P260" s="433">
        <f>+'11'!AG321</f>
        <v>0</v>
      </c>
      <c r="Q260" s="436">
        <f t="shared" si="4"/>
        <v>0</v>
      </c>
    </row>
    <row r="261" spans="2:17" ht="13.5" thickBot="1" x14ac:dyDescent="0.25">
      <c r="B261" s="521" t="str">
        <f>+'11'!B322:M322</f>
        <v>Охрана семьи и детства</v>
      </c>
      <c r="C261" s="521"/>
      <c r="D261" s="521"/>
      <c r="E261" s="521"/>
      <c r="F261" s="522"/>
      <c r="G261" s="366">
        <f>+'11'!Q322</f>
        <v>0</v>
      </c>
      <c r="H261" s="363">
        <f>+'11'!R322</f>
        <v>0</v>
      </c>
      <c r="I261" s="363">
        <f>+'11'!O322</f>
        <v>10</v>
      </c>
      <c r="J261" s="363">
        <f>+'11'!P322</f>
        <v>4</v>
      </c>
      <c r="K261" s="523"/>
      <c r="L261" s="524"/>
      <c r="M261" s="361"/>
      <c r="N261" s="362"/>
      <c r="O261" s="365">
        <f>+'11'!U322</f>
        <v>3701.2</v>
      </c>
      <c r="P261" s="433">
        <f>+'11'!AG322</f>
        <v>779.09100000000001</v>
      </c>
      <c r="Q261" s="436">
        <f t="shared" si="4"/>
        <v>21.049686588133579</v>
      </c>
    </row>
    <row r="262" spans="2:17" ht="13.5" thickBot="1" x14ac:dyDescent="0.25">
      <c r="B262" s="521" t="str">
        <f>+'11'!B323:M323</f>
        <v xml:space="preserve">Муниципальная программа "Развитие образования Овюрского кожууна </v>
      </c>
      <c r="C262" s="521"/>
      <c r="D262" s="521"/>
      <c r="E262" s="521"/>
      <c r="F262" s="522"/>
      <c r="G262" s="366" t="str">
        <f>+'11'!Q323</f>
        <v>0700000000</v>
      </c>
      <c r="H262" s="363">
        <f>+'11'!R323</f>
        <v>0</v>
      </c>
      <c r="I262" s="363">
        <f>+'11'!O323</f>
        <v>10</v>
      </c>
      <c r="J262" s="363">
        <f>+'11'!P323</f>
        <v>4</v>
      </c>
      <c r="K262" s="523"/>
      <c r="L262" s="524"/>
      <c r="M262" s="361"/>
      <c r="N262" s="362"/>
      <c r="O262" s="365">
        <f>+'11'!U323</f>
        <v>3701.2</v>
      </c>
      <c r="P262" s="433">
        <f>+'11'!AG323</f>
        <v>779.09100000000001</v>
      </c>
      <c r="Q262" s="436">
        <f t="shared" si="4"/>
        <v>21.049686588133579</v>
      </c>
    </row>
    <row r="263" spans="2:17" ht="13.5" thickBot="1" x14ac:dyDescent="0.25">
      <c r="B263" s="521" t="str">
        <f>+'11'!B324:M324</f>
        <v>подпрограмма "Развитие дошкольного образования"</v>
      </c>
      <c r="C263" s="521"/>
      <c r="D263" s="521"/>
      <c r="E263" s="521"/>
      <c r="F263" s="522"/>
      <c r="G263" s="366" t="str">
        <f>+'11'!Q324</f>
        <v>0710000000</v>
      </c>
      <c r="H263" s="363">
        <f>+'11'!R324</f>
        <v>0</v>
      </c>
      <c r="I263" s="363">
        <f>+'11'!O324</f>
        <v>10</v>
      </c>
      <c r="J263" s="363">
        <f>+'11'!P324</f>
        <v>4</v>
      </c>
      <c r="K263" s="523"/>
      <c r="L263" s="524"/>
      <c r="M263" s="361"/>
      <c r="N263" s="362"/>
      <c r="O263" s="365">
        <f>+'11'!U324</f>
        <v>3701.2</v>
      </c>
      <c r="P263" s="433">
        <f>+'11'!AG324</f>
        <v>779.09100000000001</v>
      </c>
      <c r="Q263" s="436">
        <f t="shared" si="4"/>
        <v>21.049686588133579</v>
      </c>
    </row>
    <row r="264" spans="2:17" ht="13.5" thickBot="1" x14ac:dyDescent="0.25">
      <c r="B264" s="521" t="str">
        <f>+'11'!B325:M325</f>
        <v>Компенсация части родительской платы за содержание ребенка в государственных и муниципальных образовательных учреждениях, реализующих основную общеобразовательную программу дошкольного образования</v>
      </c>
      <c r="C264" s="521"/>
      <c r="D264" s="521"/>
      <c r="E264" s="521"/>
      <c r="F264" s="522"/>
      <c r="G264" s="366" t="str">
        <f>+'11'!Q325</f>
        <v>0710376090</v>
      </c>
      <c r="H264" s="363">
        <f>+'11'!R325</f>
        <v>0</v>
      </c>
      <c r="I264" s="363">
        <f>+'11'!O325</f>
        <v>10</v>
      </c>
      <c r="J264" s="363">
        <f>+'11'!P325</f>
        <v>4</v>
      </c>
      <c r="K264" s="523"/>
      <c r="L264" s="524"/>
      <c r="M264" s="361"/>
      <c r="N264" s="362"/>
      <c r="O264" s="365">
        <f>+'11'!U325</f>
        <v>3701.2</v>
      </c>
      <c r="P264" s="433">
        <f>+'11'!AG325</f>
        <v>779.09100000000001</v>
      </c>
      <c r="Q264" s="436">
        <f t="shared" si="4"/>
        <v>21.049686588133579</v>
      </c>
    </row>
    <row r="265" spans="2:17" ht="13.5" thickBot="1" x14ac:dyDescent="0.25">
      <c r="B265" s="521" t="str">
        <f>+'11'!B326:M326</f>
        <v>Социальное обеспечение и иные выплаты населению</v>
      </c>
      <c r="C265" s="521"/>
      <c r="D265" s="521"/>
      <c r="E265" s="521"/>
      <c r="F265" s="522"/>
      <c r="G265" s="366" t="str">
        <f>+'11'!Q326</f>
        <v>0710376090</v>
      </c>
      <c r="H265" s="363" t="str">
        <f>+'11'!R326</f>
        <v>300</v>
      </c>
      <c r="I265" s="363">
        <f>+'11'!O326</f>
        <v>10</v>
      </c>
      <c r="J265" s="363">
        <f>+'11'!P326</f>
        <v>4</v>
      </c>
      <c r="K265" s="523"/>
      <c r="L265" s="524"/>
      <c r="M265" s="361"/>
      <c r="N265" s="362"/>
      <c r="O265" s="365">
        <f>+'11'!U326</f>
        <v>3701.2</v>
      </c>
      <c r="P265" s="433">
        <f>+'11'!AG326</f>
        <v>779.09100000000001</v>
      </c>
      <c r="Q265" s="436">
        <f t="shared" si="4"/>
        <v>21.049686588133579</v>
      </c>
    </row>
    <row r="266" spans="2:17" ht="13.5" thickBot="1" x14ac:dyDescent="0.25">
      <c r="B266" s="521" t="str">
        <f>+'11'!B327:M327</f>
        <v>Публичные нормативные социальные выплаты гражданам</v>
      </c>
      <c r="C266" s="521"/>
      <c r="D266" s="521"/>
      <c r="E266" s="521"/>
      <c r="F266" s="522"/>
      <c r="G266" s="366" t="str">
        <f>+'11'!Q327</f>
        <v>0710376090</v>
      </c>
      <c r="H266" s="363" t="str">
        <f>+'11'!R327</f>
        <v>310</v>
      </c>
      <c r="I266" s="363">
        <f>+'11'!O327</f>
        <v>10</v>
      </c>
      <c r="J266" s="363">
        <f>+'11'!P327</f>
        <v>4</v>
      </c>
      <c r="K266" s="523"/>
      <c r="L266" s="524"/>
      <c r="M266" s="361"/>
      <c r="N266" s="362"/>
      <c r="O266" s="365">
        <f>+'11'!U327</f>
        <v>3701.2</v>
      </c>
      <c r="P266" s="433">
        <f>+'11'!AG327</f>
        <v>779.09100000000001</v>
      </c>
      <c r="Q266" s="436">
        <f t="shared" si="4"/>
        <v>21.049686588133579</v>
      </c>
    </row>
    <row r="267" spans="2:17" ht="13.5" thickBot="1" x14ac:dyDescent="0.25">
      <c r="B267" s="521" t="str">
        <f>+'11'!B328:M328</f>
        <v>Пособия, компенсации, меры социальной поддержки по публичным нормативным обязательствам</v>
      </c>
      <c r="C267" s="521"/>
      <c r="D267" s="521"/>
      <c r="E267" s="521"/>
      <c r="F267" s="522"/>
      <c r="G267" s="366" t="str">
        <f>+'11'!Q328</f>
        <v>0710376090</v>
      </c>
      <c r="H267" s="363" t="str">
        <f>+'11'!R328</f>
        <v>313</v>
      </c>
      <c r="I267" s="363">
        <f>+'11'!O328</f>
        <v>10</v>
      </c>
      <c r="J267" s="363">
        <f>+'11'!P328</f>
        <v>4</v>
      </c>
      <c r="K267" s="523"/>
      <c r="L267" s="524"/>
      <c r="M267" s="361"/>
      <c r="N267" s="362"/>
      <c r="O267" s="365">
        <f>+'11'!U328</f>
        <v>3701.2</v>
      </c>
      <c r="P267" s="433">
        <f>+'11'!AG328</f>
        <v>779.09100000000001</v>
      </c>
      <c r="Q267" s="436">
        <f t="shared" si="4"/>
        <v>21.049686588133579</v>
      </c>
    </row>
    <row r="268" spans="2:17" s="419" customFormat="1" ht="32.25" customHeight="1" thickBot="1" x14ac:dyDescent="0.25">
      <c r="B268" s="525" t="str">
        <f>+'11'!B29:M29</f>
        <v>Муниципальная программа "Развитие культуры Овюрского кожууна</v>
      </c>
      <c r="C268" s="525"/>
      <c r="D268" s="525"/>
      <c r="E268" s="525"/>
      <c r="F268" s="526"/>
      <c r="G268" s="420" t="str">
        <f>+'11'!Q29</f>
        <v>0800000000</v>
      </c>
      <c r="H268" s="421">
        <f>+'11'!R29</f>
        <v>0</v>
      </c>
      <c r="I268" s="425">
        <f>+'11'!O29</f>
        <v>8</v>
      </c>
      <c r="J268" s="425">
        <f>+'11'!P29</f>
        <v>1</v>
      </c>
      <c r="K268" s="527"/>
      <c r="L268" s="528"/>
      <c r="M268" s="422"/>
      <c r="N268" s="423"/>
      <c r="O268" s="424">
        <f>+O269+O274+O280+O286+O293+O308+O314</f>
        <v>51452.305</v>
      </c>
      <c r="P268" s="433">
        <f>+P269+P274+P280+P286+P293+P308+P314</f>
        <v>13697.876270000001</v>
      </c>
      <c r="Q268" s="435">
        <f t="shared" si="4"/>
        <v>26.622473512119623</v>
      </c>
    </row>
    <row r="269" spans="2:17" ht="13.5" thickBot="1" x14ac:dyDescent="0.25">
      <c r="B269" s="521" t="str">
        <f>+'11'!B30:M30</f>
        <v>подпрограмма "Библиотечное обслуживание населения"</v>
      </c>
      <c r="C269" s="521"/>
      <c r="D269" s="521"/>
      <c r="E269" s="521"/>
      <c r="F269" s="522"/>
      <c r="G269" s="366" t="str">
        <f>+'11'!Q30</f>
        <v>0810000000</v>
      </c>
      <c r="H269" s="363">
        <f>+'11'!R30</f>
        <v>0</v>
      </c>
      <c r="I269" s="417">
        <f>+'11'!O30</f>
        <v>8</v>
      </c>
      <c r="J269" s="417">
        <f>+'11'!P30</f>
        <v>1</v>
      </c>
      <c r="K269" s="523"/>
      <c r="L269" s="524"/>
      <c r="M269" s="361"/>
      <c r="N269" s="362"/>
      <c r="O269" s="365">
        <f>+'11'!U30</f>
        <v>10474.677</v>
      </c>
      <c r="P269" s="434">
        <f>+'11'!AG30</f>
        <v>2536.91876</v>
      </c>
      <c r="Q269" s="436">
        <f t="shared" si="4"/>
        <v>24.219541662239326</v>
      </c>
    </row>
    <row r="270" spans="2:17" ht="13.5" thickBot="1" x14ac:dyDescent="0.25">
      <c r="B270" s="521" t="str">
        <f>+'11'!B31:M31</f>
        <v>Обеспечение деятельности муниципальных учреждений (оказание услуг) - средства местного бджета</v>
      </c>
      <c r="C270" s="521"/>
      <c r="D270" s="521"/>
      <c r="E270" s="521"/>
      <c r="F270" s="522"/>
      <c r="G270" s="366" t="str">
        <f>+'11'!Q31</f>
        <v>0810100059</v>
      </c>
      <c r="H270" s="363">
        <f>+'11'!R31</f>
        <v>0</v>
      </c>
      <c r="I270" s="417">
        <f>+'11'!O31</f>
        <v>8</v>
      </c>
      <c r="J270" s="417">
        <f>+'11'!P31</f>
        <v>1</v>
      </c>
      <c r="K270" s="523"/>
      <c r="L270" s="524"/>
      <c r="M270" s="361"/>
      <c r="N270" s="362"/>
      <c r="O270" s="365">
        <f>+'11'!U31</f>
        <v>10474.677</v>
      </c>
      <c r="P270" s="434">
        <f>+'11'!AG31</f>
        <v>2536.91876</v>
      </c>
      <c r="Q270" s="436">
        <f t="shared" si="4"/>
        <v>24.219541662239326</v>
      </c>
    </row>
    <row r="271" spans="2:17" ht="13.5" thickBot="1" x14ac:dyDescent="0.25">
      <c r="B271" s="521" t="str">
        <f>+'11'!B32:M32</f>
        <v>Предоставление субсидий бюджетным, автономным учреждениям и иным некоммерческим организациям</v>
      </c>
      <c r="C271" s="521"/>
      <c r="D271" s="521"/>
      <c r="E271" s="521"/>
      <c r="F271" s="522"/>
      <c r="G271" s="366" t="str">
        <f>+'11'!Q32</f>
        <v>0810100059</v>
      </c>
      <c r="H271" s="363" t="str">
        <f>+'11'!R32</f>
        <v>600</v>
      </c>
      <c r="I271" s="417">
        <f>+'11'!O32</f>
        <v>8</v>
      </c>
      <c r="J271" s="417">
        <f>+'11'!P32</f>
        <v>1</v>
      </c>
      <c r="K271" s="523"/>
      <c r="L271" s="524"/>
      <c r="M271" s="361"/>
      <c r="N271" s="362"/>
      <c r="O271" s="365">
        <f>+'11'!U32</f>
        <v>10474.677</v>
      </c>
      <c r="P271" s="434">
        <f>+'11'!AG32</f>
        <v>2536.91876</v>
      </c>
      <c r="Q271" s="436">
        <f t="shared" si="4"/>
        <v>24.219541662239326</v>
      </c>
    </row>
    <row r="272" spans="2:17" ht="13.5" thickBot="1" x14ac:dyDescent="0.25">
      <c r="B272" s="521" t="str">
        <f>+'11'!B33:M33</f>
        <v>Субсидии бюджетным учреждениям</v>
      </c>
      <c r="C272" s="521"/>
      <c r="D272" s="521"/>
      <c r="E272" s="521"/>
      <c r="F272" s="522"/>
      <c r="G272" s="366" t="str">
        <f>+'11'!Q33</f>
        <v>0810100059</v>
      </c>
      <c r="H272" s="363" t="str">
        <f>+'11'!R33</f>
        <v>610</v>
      </c>
      <c r="I272" s="417">
        <f>+'11'!O33</f>
        <v>8</v>
      </c>
      <c r="J272" s="417">
        <f>+'11'!P33</f>
        <v>1</v>
      </c>
      <c r="K272" s="523"/>
      <c r="L272" s="524"/>
      <c r="M272" s="361"/>
      <c r="N272" s="362"/>
      <c r="O272" s="365">
        <f>+'11'!U33</f>
        <v>10474.677</v>
      </c>
      <c r="P272" s="434">
        <f>+'11'!AG33</f>
        <v>2536.91876</v>
      </c>
      <c r="Q272" s="436">
        <f t="shared" si="4"/>
        <v>24.219541662239326</v>
      </c>
    </row>
    <row r="273" spans="2:17" ht="13.5" thickBot="1" x14ac:dyDescent="0.25">
      <c r="B273" s="521" t="str">
        <f>+'11'!B34:M34</f>
        <v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v>
      </c>
      <c r="C273" s="521"/>
      <c r="D273" s="521"/>
      <c r="E273" s="521"/>
      <c r="F273" s="522"/>
      <c r="G273" s="366" t="str">
        <f>+'11'!Q34</f>
        <v>0810100059</v>
      </c>
      <c r="H273" s="363" t="str">
        <f>+'11'!R34</f>
        <v>611</v>
      </c>
      <c r="I273" s="417">
        <f>+'11'!O34</f>
        <v>8</v>
      </c>
      <c r="J273" s="417">
        <f>+'11'!P34</f>
        <v>1</v>
      </c>
      <c r="K273" s="523"/>
      <c r="L273" s="524"/>
      <c r="M273" s="361"/>
      <c r="N273" s="362"/>
      <c r="O273" s="365">
        <f>+'11'!U34</f>
        <v>10474.677</v>
      </c>
      <c r="P273" s="434">
        <f>+'11'!AG34</f>
        <v>2536.91876</v>
      </c>
      <c r="Q273" s="436">
        <f t="shared" si="4"/>
        <v>24.219541662239326</v>
      </c>
    </row>
    <row r="274" spans="2:17" ht="13.5" thickBot="1" x14ac:dyDescent="0.25">
      <c r="B274" s="521" t="str">
        <f>+'11'!B35:M35</f>
        <v>Муниципальная программа "Развитие культуры Овюрского кожууна</v>
      </c>
      <c r="C274" s="521"/>
      <c r="D274" s="521"/>
      <c r="E274" s="521"/>
      <c r="F274" s="522"/>
      <c r="G274" s="366" t="str">
        <f>+'11'!Q35</f>
        <v>0800000000</v>
      </c>
      <c r="H274" s="363">
        <f>+'11'!R35</f>
        <v>0</v>
      </c>
      <c r="I274" s="417">
        <f>+'11'!O35</f>
        <v>8</v>
      </c>
      <c r="J274" s="417">
        <f>+'11'!P35</f>
        <v>1</v>
      </c>
      <c r="K274" s="523"/>
      <c r="L274" s="524"/>
      <c r="M274" s="361"/>
      <c r="N274" s="362"/>
      <c r="O274" s="365">
        <f>+'11'!U35</f>
        <v>6.3159999999999998</v>
      </c>
      <c r="P274" s="434">
        <f>+'11'!AG35</f>
        <v>0</v>
      </c>
      <c r="Q274" s="436">
        <f t="shared" si="4"/>
        <v>0</v>
      </c>
    </row>
    <row r="275" spans="2:17" ht="13.5" thickBot="1" x14ac:dyDescent="0.25">
      <c r="B275" s="521" t="str">
        <f>+'11'!B36:M36</f>
        <v>подпрограмма "Библиотечное обслуживание населения"</v>
      </c>
      <c r="C275" s="521"/>
      <c r="D275" s="521"/>
      <c r="E275" s="521"/>
      <c r="F275" s="522"/>
      <c r="G275" s="366" t="str">
        <f>+'11'!Q36</f>
        <v>0810000000</v>
      </c>
      <c r="H275" s="363">
        <f>+'11'!R36</f>
        <v>0</v>
      </c>
      <c r="I275" s="417">
        <f>+'11'!O36</f>
        <v>8</v>
      </c>
      <c r="J275" s="417">
        <f>+'11'!P36</f>
        <v>1</v>
      </c>
      <c r="K275" s="523"/>
      <c r="L275" s="524"/>
      <c r="M275" s="361"/>
      <c r="N275" s="362"/>
      <c r="O275" s="365">
        <f>+'11'!U36</f>
        <v>6.3159999999999998</v>
      </c>
      <c r="P275" s="434">
        <f>+'11'!AG36</f>
        <v>0</v>
      </c>
      <c r="Q275" s="436">
        <f t="shared" si="4"/>
        <v>0</v>
      </c>
    </row>
    <row r="276" spans="2:17" ht="13.5" thickBot="1" x14ac:dyDescent="0.25">
      <c r="B276" s="521" t="str">
        <f>+'11'!B37:M37</f>
        <v>Комплектование книжных фондов библиотек муниципальных образований</v>
      </c>
      <c r="C276" s="521"/>
      <c r="D276" s="521"/>
      <c r="E276" s="521"/>
      <c r="F276" s="522"/>
      <c r="G276" s="366" t="str">
        <f>+'11'!Q37</f>
        <v>08102L5190</v>
      </c>
      <c r="H276" s="363">
        <f>+'11'!R37</f>
        <v>0</v>
      </c>
      <c r="I276" s="417">
        <f>+'11'!O37</f>
        <v>8</v>
      </c>
      <c r="J276" s="417">
        <f>+'11'!P37</f>
        <v>1</v>
      </c>
      <c r="K276" s="523"/>
      <c r="L276" s="524"/>
      <c r="M276" s="361"/>
      <c r="N276" s="362"/>
      <c r="O276" s="365">
        <f>+'11'!U37</f>
        <v>6.3159999999999998</v>
      </c>
      <c r="P276" s="434">
        <f>+'11'!AG37</f>
        <v>0</v>
      </c>
      <c r="Q276" s="436">
        <f t="shared" si="4"/>
        <v>0</v>
      </c>
    </row>
    <row r="277" spans="2:17" ht="13.5" thickBot="1" x14ac:dyDescent="0.25">
      <c r="B277" s="521" t="str">
        <f>+'11'!B38:M38</f>
        <v>Предоставление субсидий бюджетным, автономным учреждениям и иным некоммерческим организациям</v>
      </c>
      <c r="C277" s="521"/>
      <c r="D277" s="521"/>
      <c r="E277" s="521"/>
      <c r="F277" s="522"/>
      <c r="G277" s="366" t="str">
        <f>+'11'!Q38</f>
        <v>08102L5190</v>
      </c>
      <c r="H277" s="363" t="str">
        <f>+'11'!R38</f>
        <v>600</v>
      </c>
      <c r="I277" s="417">
        <f>+'11'!O38</f>
        <v>8</v>
      </c>
      <c r="J277" s="417">
        <f>+'11'!P38</f>
        <v>1</v>
      </c>
      <c r="K277" s="523"/>
      <c r="L277" s="524"/>
      <c r="M277" s="361"/>
      <c r="N277" s="362"/>
      <c r="O277" s="365">
        <f>+'11'!U38</f>
        <v>6.3159999999999998</v>
      </c>
      <c r="P277" s="434">
        <f>+'11'!AG38</f>
        <v>0</v>
      </c>
      <c r="Q277" s="436">
        <f t="shared" si="4"/>
        <v>0</v>
      </c>
    </row>
    <row r="278" spans="2:17" ht="13.5" thickBot="1" x14ac:dyDescent="0.25">
      <c r="B278" s="521" t="str">
        <f>+'11'!B39:M39</f>
        <v>Субсидии бюджетным учреждениям</v>
      </c>
      <c r="C278" s="521"/>
      <c r="D278" s="521"/>
      <c r="E278" s="521"/>
      <c r="F278" s="522"/>
      <c r="G278" s="366" t="str">
        <f>+'11'!Q39</f>
        <v>08102L5190</v>
      </c>
      <c r="H278" s="363" t="str">
        <f>+'11'!R39</f>
        <v>610</v>
      </c>
      <c r="I278" s="417">
        <f>+'11'!O39</f>
        <v>8</v>
      </c>
      <c r="J278" s="417">
        <f>+'11'!P39</f>
        <v>1</v>
      </c>
      <c r="K278" s="523"/>
      <c r="L278" s="524"/>
      <c r="M278" s="361"/>
      <c r="N278" s="362"/>
      <c r="O278" s="365">
        <f>+'11'!U39</f>
        <v>6.3159999999999998</v>
      </c>
      <c r="P278" s="434">
        <f>+'11'!AG39</f>
        <v>0</v>
      </c>
      <c r="Q278" s="436">
        <f t="shared" si="4"/>
        <v>0</v>
      </c>
    </row>
    <row r="279" spans="2:17" ht="13.5" thickBot="1" x14ac:dyDescent="0.25">
      <c r="B279" s="521" t="str">
        <f>+'11'!B40:M40</f>
        <v>Субсидии бюджетным учреждениям на иные цели</v>
      </c>
      <c r="C279" s="521"/>
      <c r="D279" s="521"/>
      <c r="E279" s="521"/>
      <c r="F279" s="522"/>
      <c r="G279" s="366" t="str">
        <f>+'11'!Q40</f>
        <v>08102L5190</v>
      </c>
      <c r="H279" s="363" t="str">
        <f>+'11'!R40</f>
        <v>612</v>
      </c>
      <c r="I279" s="417">
        <f>+'11'!O40</f>
        <v>8</v>
      </c>
      <c r="J279" s="417">
        <f>+'11'!P40</f>
        <v>1</v>
      </c>
      <c r="K279" s="523"/>
      <c r="L279" s="524"/>
      <c r="M279" s="361"/>
      <c r="N279" s="362"/>
      <c r="O279" s="365">
        <f>+'11'!U40</f>
        <v>6.3159999999999998</v>
      </c>
      <c r="P279" s="434">
        <f>+'11'!AG40</f>
        <v>0</v>
      </c>
      <c r="Q279" s="436">
        <f t="shared" si="4"/>
        <v>0</v>
      </c>
    </row>
    <row r="280" spans="2:17" ht="13.5" thickBot="1" x14ac:dyDescent="0.25">
      <c r="B280" s="521" t="str">
        <f>+'11'!B41:M41</f>
        <v>Муниципальная программа "Развитие культуры Овюрского кожууна</v>
      </c>
      <c r="C280" s="521"/>
      <c r="D280" s="521"/>
      <c r="E280" s="521"/>
      <c r="F280" s="522"/>
      <c r="G280" s="366" t="str">
        <f>+'11'!Q41</f>
        <v>0800000000</v>
      </c>
      <c r="H280" s="363">
        <f>+'11'!R41</f>
        <v>0</v>
      </c>
      <c r="I280" s="417">
        <f>+'11'!O41</f>
        <v>8</v>
      </c>
      <c r="J280" s="417">
        <f>+'11'!P41</f>
        <v>1</v>
      </c>
      <c r="K280" s="523"/>
      <c r="L280" s="524"/>
      <c r="M280" s="361"/>
      <c r="N280" s="362"/>
      <c r="O280" s="365">
        <f>+'11'!U41</f>
        <v>15448.043</v>
      </c>
      <c r="P280" s="434">
        <f>+'11'!AG41</f>
        <v>4214.7941499999997</v>
      </c>
      <c r="Q280" s="436">
        <f t="shared" si="4"/>
        <v>27.283676968014653</v>
      </c>
    </row>
    <row r="281" spans="2:17" ht="13.5" thickBot="1" x14ac:dyDescent="0.25">
      <c r="B281" s="521" t="str">
        <f>+'11'!B42:M42</f>
        <v>подпрограмма "Организация досуга и предоставление услуг организаций культуры"</v>
      </c>
      <c r="C281" s="521"/>
      <c r="D281" s="521"/>
      <c r="E281" s="521"/>
      <c r="F281" s="522"/>
      <c r="G281" s="366" t="str">
        <f>+'11'!Q42</f>
        <v>0820000000</v>
      </c>
      <c r="H281" s="363">
        <f>+'11'!R42</f>
        <v>0</v>
      </c>
      <c r="I281" s="417">
        <f>+'11'!O42</f>
        <v>8</v>
      </c>
      <c r="J281" s="417">
        <f>+'11'!P42</f>
        <v>1</v>
      </c>
      <c r="K281" s="523"/>
      <c r="L281" s="524"/>
      <c r="M281" s="361"/>
      <c r="N281" s="362"/>
      <c r="O281" s="365">
        <f>+'11'!U42</f>
        <v>15448.043</v>
      </c>
      <c r="P281" s="434">
        <f>+'11'!AG42</f>
        <v>4214.7941499999997</v>
      </c>
      <c r="Q281" s="436">
        <f t="shared" si="4"/>
        <v>27.283676968014653</v>
      </c>
    </row>
    <row r="282" spans="2:17" ht="13.5" thickBot="1" x14ac:dyDescent="0.25">
      <c r="B282" s="521" t="str">
        <f>+'11'!B43:M43</f>
        <v>Обеспечение деятельности муниципальных учреждений (оказание услуг)</v>
      </c>
      <c r="C282" s="521"/>
      <c r="D282" s="521"/>
      <c r="E282" s="521"/>
      <c r="F282" s="522"/>
      <c r="G282" s="366" t="str">
        <f>+'11'!Q43</f>
        <v>0820100059</v>
      </c>
      <c r="H282" s="363">
        <f>+'11'!R43</f>
        <v>0</v>
      </c>
      <c r="I282" s="417">
        <f>+'11'!O43</f>
        <v>8</v>
      </c>
      <c r="J282" s="417">
        <f>+'11'!P43</f>
        <v>1</v>
      </c>
      <c r="K282" s="523"/>
      <c r="L282" s="524"/>
      <c r="M282" s="361"/>
      <c r="N282" s="362"/>
      <c r="O282" s="365">
        <f>+'11'!U43</f>
        <v>15448.043</v>
      </c>
      <c r="P282" s="434">
        <f>+'11'!AG43</f>
        <v>4214.7941499999997</v>
      </c>
      <c r="Q282" s="436">
        <f t="shared" si="4"/>
        <v>27.283676968014653</v>
      </c>
    </row>
    <row r="283" spans="2:17" ht="13.5" thickBot="1" x14ac:dyDescent="0.25">
      <c r="B283" s="521" t="str">
        <f>+'11'!B44:M44</f>
        <v>Предоставление субсидий бюджетным, автономным учреждениям и иным некоммерческим организациям</v>
      </c>
      <c r="C283" s="521"/>
      <c r="D283" s="521"/>
      <c r="E283" s="521"/>
      <c r="F283" s="522"/>
      <c r="G283" s="366" t="str">
        <f>+'11'!Q44</f>
        <v>0820100059</v>
      </c>
      <c r="H283" s="363" t="str">
        <f>+'11'!R44</f>
        <v>600</v>
      </c>
      <c r="I283" s="417">
        <f>+'11'!O44</f>
        <v>8</v>
      </c>
      <c r="J283" s="417">
        <f>+'11'!P44</f>
        <v>1</v>
      </c>
      <c r="K283" s="523"/>
      <c r="L283" s="524"/>
      <c r="M283" s="361"/>
      <c r="N283" s="362"/>
      <c r="O283" s="365">
        <f>+'11'!U44</f>
        <v>15448.043</v>
      </c>
      <c r="P283" s="434">
        <f>+'11'!AG44</f>
        <v>4214.7941499999997</v>
      </c>
      <c r="Q283" s="436">
        <f t="shared" si="4"/>
        <v>27.283676968014653</v>
      </c>
    </row>
    <row r="284" spans="2:17" ht="13.5" thickBot="1" x14ac:dyDescent="0.25">
      <c r="B284" s="521" t="str">
        <f>+'11'!B45:M45</f>
        <v>Субсидии бюджетным учреждениям</v>
      </c>
      <c r="C284" s="521"/>
      <c r="D284" s="521"/>
      <c r="E284" s="521"/>
      <c r="F284" s="522"/>
      <c r="G284" s="366" t="str">
        <f>+'11'!Q45</f>
        <v>0820100059</v>
      </c>
      <c r="H284" s="363" t="str">
        <f>+'11'!R45</f>
        <v>610</v>
      </c>
      <c r="I284" s="417">
        <f>+'11'!O45</f>
        <v>8</v>
      </c>
      <c r="J284" s="417">
        <f>+'11'!P45</f>
        <v>1</v>
      </c>
      <c r="K284" s="523"/>
      <c r="L284" s="524"/>
      <c r="M284" s="361"/>
      <c r="N284" s="362"/>
      <c r="O284" s="365">
        <f>+'11'!U45</f>
        <v>15448.043</v>
      </c>
      <c r="P284" s="434">
        <f>+'11'!AG45</f>
        <v>4214.7941499999997</v>
      </c>
      <c r="Q284" s="436">
        <f t="shared" si="4"/>
        <v>27.283676968014653</v>
      </c>
    </row>
    <row r="285" spans="2:17" ht="13.5" thickBot="1" x14ac:dyDescent="0.25">
      <c r="B285" s="521" t="str">
        <f>+'11'!B46:M46</f>
        <v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v>
      </c>
      <c r="C285" s="521"/>
      <c r="D285" s="521"/>
      <c r="E285" s="521"/>
      <c r="F285" s="522"/>
      <c r="G285" s="366" t="str">
        <f>+'11'!Q46</f>
        <v>0820100059</v>
      </c>
      <c r="H285" s="363" t="str">
        <f>+'11'!R46</f>
        <v>611</v>
      </c>
      <c r="I285" s="417">
        <f>+'11'!O46</f>
        <v>8</v>
      </c>
      <c r="J285" s="417">
        <f>+'11'!P46</f>
        <v>1</v>
      </c>
      <c r="K285" s="523"/>
      <c r="L285" s="524"/>
      <c r="M285" s="361"/>
      <c r="N285" s="362"/>
      <c r="O285" s="365">
        <f>+'11'!U46</f>
        <v>15448.043</v>
      </c>
      <c r="P285" s="434">
        <f>+'11'!AG46</f>
        <v>4214.7941499999997</v>
      </c>
      <c r="Q285" s="436">
        <f t="shared" si="4"/>
        <v>27.283676968014653</v>
      </c>
    </row>
    <row r="286" spans="2:17" ht="13.5" thickBot="1" x14ac:dyDescent="0.25">
      <c r="B286" s="521" t="str">
        <f>+'11'!B47:M47</f>
        <v>Муниципальная программа "Развитие культуры Овюрского кожууна</v>
      </c>
      <c r="C286" s="521"/>
      <c r="D286" s="521"/>
      <c r="E286" s="521"/>
      <c r="F286" s="522"/>
      <c r="G286" s="366" t="str">
        <f>+'11'!Q47</f>
        <v>0800000000</v>
      </c>
      <c r="H286" s="363">
        <f>+'11'!R47</f>
        <v>0</v>
      </c>
      <c r="I286" s="417">
        <f>+'11'!O47</f>
        <v>8</v>
      </c>
      <c r="J286" s="417">
        <f>+'11'!P47</f>
        <v>1</v>
      </c>
      <c r="K286" s="523"/>
      <c r="L286" s="524"/>
      <c r="M286" s="361"/>
      <c r="N286" s="362"/>
      <c r="O286" s="365">
        <f>+'11'!U47</f>
        <v>1081.5</v>
      </c>
      <c r="P286" s="434">
        <f>+'11'!AG47</f>
        <v>0</v>
      </c>
      <c r="Q286" s="436">
        <f t="shared" si="4"/>
        <v>0</v>
      </c>
    </row>
    <row r="287" spans="2:17" ht="13.5" thickBot="1" x14ac:dyDescent="0.25">
      <c r="B287" s="521" t="str">
        <f>+'11'!B48:M48</f>
        <v>подпрограмма "Организация досуга и предоставление услуг организаций культуры"</v>
      </c>
      <c r="C287" s="521"/>
      <c r="D287" s="521"/>
      <c r="E287" s="521"/>
      <c r="F287" s="522"/>
      <c r="G287" s="366" t="str">
        <f>+'11'!Q48</f>
        <v>0820000000</v>
      </c>
      <c r="H287" s="363">
        <f>+'11'!R48</f>
        <v>0</v>
      </c>
      <c r="I287" s="417">
        <f>+'11'!O48</f>
        <v>8</v>
      </c>
      <c r="J287" s="417">
        <f>+'11'!P48</f>
        <v>1</v>
      </c>
      <c r="K287" s="523"/>
      <c r="L287" s="524"/>
      <c r="M287" s="361"/>
      <c r="N287" s="362"/>
      <c r="O287" s="365">
        <f>+'11'!U48</f>
        <v>1081.5</v>
      </c>
      <c r="P287" s="434">
        <f>+'11'!AG48</f>
        <v>0</v>
      </c>
      <c r="Q287" s="436">
        <f t="shared" si="4"/>
        <v>0</v>
      </c>
    </row>
    <row r="288" spans="2:17" ht="13.5" thickBot="1" x14ac:dyDescent="0.25">
      <c r="B288" s="521" t="str">
        <f>+'11'!B49:M49</f>
        <v>Поддержка творческой деятельности и укрепление материально технической базы муниципальных театров в населенных пунктах с численностью населения до 300 тысяч человек</v>
      </c>
      <c r="C288" s="521"/>
      <c r="D288" s="521"/>
      <c r="E288" s="521"/>
      <c r="F288" s="522"/>
      <c r="G288" s="366" t="str">
        <f>+'11'!Q49</f>
        <v>08201L4660</v>
      </c>
      <c r="H288" s="363">
        <f>+'11'!R49</f>
        <v>0</v>
      </c>
      <c r="I288" s="417">
        <f>+'11'!O49</f>
        <v>8</v>
      </c>
      <c r="J288" s="417">
        <f>+'11'!P49</f>
        <v>1</v>
      </c>
      <c r="K288" s="523"/>
      <c r="L288" s="524"/>
      <c r="M288" s="361"/>
      <c r="N288" s="362"/>
      <c r="O288" s="365">
        <f>+'11'!U49</f>
        <v>1081.5</v>
      </c>
      <c r="P288" s="434">
        <f>+'11'!AG49</f>
        <v>0</v>
      </c>
      <c r="Q288" s="436">
        <f t="shared" si="4"/>
        <v>0</v>
      </c>
    </row>
    <row r="289" spans="2:17" ht="13.5" thickBot="1" x14ac:dyDescent="0.25">
      <c r="B289" s="521" t="str">
        <f>+'11'!B50:M50</f>
        <v>Предоставление субсидий бюджетным, автономным учреждениям и иным некоммерческим организациям</v>
      </c>
      <c r="C289" s="521"/>
      <c r="D289" s="521"/>
      <c r="E289" s="521"/>
      <c r="F289" s="522"/>
      <c r="G289" s="366" t="str">
        <f>+'11'!Q50</f>
        <v>08201L4660</v>
      </c>
      <c r="H289" s="363" t="str">
        <f>+'11'!R50</f>
        <v>600</v>
      </c>
      <c r="I289" s="417">
        <f>+'11'!O50</f>
        <v>8</v>
      </c>
      <c r="J289" s="417">
        <f>+'11'!P50</f>
        <v>1</v>
      </c>
      <c r="K289" s="523"/>
      <c r="L289" s="524"/>
      <c r="M289" s="361"/>
      <c r="N289" s="362"/>
      <c r="O289" s="365">
        <f>+'11'!U50</f>
        <v>1081.5</v>
      </c>
      <c r="P289" s="434">
        <f>+'11'!AG50</f>
        <v>0</v>
      </c>
      <c r="Q289" s="436">
        <f t="shared" si="4"/>
        <v>0</v>
      </c>
    </row>
    <row r="290" spans="2:17" ht="13.5" thickBot="1" x14ac:dyDescent="0.25">
      <c r="B290" s="521" t="str">
        <f>+'11'!B51:M51</f>
        <v>Субсидии бюджетным учреждениям</v>
      </c>
      <c r="C290" s="521"/>
      <c r="D290" s="521"/>
      <c r="E290" s="521"/>
      <c r="F290" s="522"/>
      <c r="G290" s="366" t="str">
        <f>+'11'!Q51</f>
        <v>08201L4660</v>
      </c>
      <c r="H290" s="363" t="str">
        <f>+'11'!R51</f>
        <v>610</v>
      </c>
      <c r="I290" s="417">
        <f>+'11'!O51</f>
        <v>8</v>
      </c>
      <c r="J290" s="417">
        <f>+'11'!P51</f>
        <v>1</v>
      </c>
      <c r="K290" s="523"/>
      <c r="L290" s="524"/>
      <c r="M290" s="361"/>
      <c r="N290" s="362"/>
      <c r="O290" s="365">
        <f>+'11'!U51</f>
        <v>1081.5</v>
      </c>
      <c r="P290" s="434">
        <f>+'11'!AG51</f>
        <v>0</v>
      </c>
      <c r="Q290" s="436">
        <f t="shared" si="4"/>
        <v>0</v>
      </c>
    </row>
    <row r="291" spans="2:17" ht="13.5" thickBot="1" x14ac:dyDescent="0.25">
      <c r="B291" s="521" t="str">
        <f>+'11'!B52:M52</f>
        <v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v>
      </c>
      <c r="C291" s="521"/>
      <c r="D291" s="521"/>
      <c r="E291" s="521"/>
      <c r="F291" s="522"/>
      <c r="G291" s="366" t="str">
        <f>+'11'!Q52</f>
        <v>08201L4660</v>
      </c>
      <c r="H291" s="363" t="str">
        <f>+'11'!R52</f>
        <v>611</v>
      </c>
      <c r="I291" s="417">
        <f>+'11'!O52</f>
        <v>8</v>
      </c>
      <c r="J291" s="417">
        <f>+'11'!P52</f>
        <v>1</v>
      </c>
      <c r="K291" s="523"/>
      <c r="L291" s="524"/>
      <c r="M291" s="361"/>
      <c r="N291" s="362"/>
      <c r="O291" s="365">
        <f>+'11'!U52</f>
        <v>51.5</v>
      </c>
      <c r="P291" s="434">
        <f>+'11'!AG52</f>
        <v>0</v>
      </c>
      <c r="Q291" s="436">
        <f t="shared" ref="Q291:Q346" si="5">P291/O291*100</f>
        <v>0</v>
      </c>
    </row>
    <row r="292" spans="2:17" ht="13.5" thickBot="1" x14ac:dyDescent="0.25">
      <c r="B292" s="521" t="str">
        <f>+'11'!B53:M53</f>
        <v>Субсидии бюджетным учреждениям на иные цели</v>
      </c>
      <c r="C292" s="521"/>
      <c r="D292" s="521"/>
      <c r="E292" s="521"/>
      <c r="F292" s="522"/>
      <c r="G292" s="366" t="str">
        <f>+'11'!Q53</f>
        <v>08201L4660</v>
      </c>
      <c r="H292" s="363" t="str">
        <f>+'11'!R53</f>
        <v>612</v>
      </c>
      <c r="I292" s="417">
        <f>+'11'!O53</f>
        <v>8</v>
      </c>
      <c r="J292" s="417">
        <f>+'11'!P53</f>
        <v>1</v>
      </c>
      <c r="K292" s="523"/>
      <c r="L292" s="524"/>
      <c r="M292" s="361"/>
      <c r="N292" s="362"/>
      <c r="O292" s="365">
        <f>+'11'!U53</f>
        <v>1030</v>
      </c>
      <c r="P292" s="434">
        <f>+'11'!AG53</f>
        <v>0</v>
      </c>
      <c r="Q292" s="436">
        <f t="shared" si="5"/>
        <v>0</v>
      </c>
    </row>
    <row r="293" spans="2:17" ht="13.5" thickBot="1" x14ac:dyDescent="0.25">
      <c r="B293" s="521" t="str">
        <f>+'11'!B54:M54</f>
        <v>Муниципальная программа "Развитие культуры Овюрского кожууна</v>
      </c>
      <c r="C293" s="521"/>
      <c r="D293" s="521"/>
      <c r="E293" s="521"/>
      <c r="F293" s="522"/>
      <c r="G293" s="366" t="str">
        <f>+'11'!Q54</f>
        <v>0800000000</v>
      </c>
      <c r="H293" s="363">
        <f>+'11'!R54</f>
        <v>0</v>
      </c>
      <c r="I293" s="417">
        <f>+'11'!O54</f>
        <v>8</v>
      </c>
      <c r="J293" s="417">
        <f>+'11'!P54</f>
        <v>1</v>
      </c>
      <c r="K293" s="523"/>
      <c r="L293" s="524"/>
      <c r="M293" s="361"/>
      <c r="N293" s="362"/>
      <c r="O293" s="365">
        <f>+'11'!U54</f>
        <v>21511.021000000001</v>
      </c>
      <c r="P293" s="434">
        <f>+'11'!AG54</f>
        <v>6255.3161199999995</v>
      </c>
      <c r="Q293" s="436">
        <f t="shared" si="5"/>
        <v>29.07958724971725</v>
      </c>
    </row>
    <row r="294" spans="2:17" ht="13.5" thickBot="1" x14ac:dyDescent="0.25">
      <c r="B294" s="521" t="str">
        <f>+'11'!B55:M55</f>
        <v>подпрограмма "Организация досуга и предоставление услуг организаций культуры"</v>
      </c>
      <c r="C294" s="521"/>
      <c r="D294" s="521"/>
      <c r="E294" s="521"/>
      <c r="F294" s="522"/>
      <c r="G294" s="366" t="str">
        <f>+'11'!Q55</f>
        <v>0820000000</v>
      </c>
      <c r="H294" s="363">
        <f>+'11'!R55</f>
        <v>0</v>
      </c>
      <c r="I294" s="417">
        <f>+'11'!O55</f>
        <v>8</v>
      </c>
      <c r="J294" s="417">
        <f>+'11'!P55</f>
        <v>1</v>
      </c>
      <c r="K294" s="523"/>
      <c r="L294" s="524"/>
      <c r="M294" s="361"/>
      <c r="N294" s="362"/>
      <c r="O294" s="365">
        <f>+'11'!U55</f>
        <v>21511.021000000001</v>
      </c>
      <c r="P294" s="434">
        <f>+'11'!AG55</f>
        <v>6255.3161199999995</v>
      </c>
      <c r="Q294" s="436">
        <f t="shared" si="5"/>
        <v>29.07958724971725</v>
      </c>
    </row>
    <row r="295" spans="2:17" ht="13.5" thickBot="1" x14ac:dyDescent="0.25">
      <c r="B295" s="521" t="str">
        <f>+'11'!B56:M56</f>
        <v>Обеспечение деятельности подведомственных учреждений</v>
      </c>
      <c r="C295" s="521"/>
      <c r="D295" s="521"/>
      <c r="E295" s="521"/>
      <c r="F295" s="522"/>
      <c r="G295" s="366" t="str">
        <f>+'11'!Q56</f>
        <v>0820299190</v>
      </c>
      <c r="H295" s="363">
        <f>+'11'!R56</f>
        <v>0</v>
      </c>
      <c r="I295" s="417">
        <f>+'11'!O56</f>
        <v>8</v>
      </c>
      <c r="J295" s="417">
        <f>+'11'!P56</f>
        <v>1</v>
      </c>
      <c r="K295" s="523"/>
      <c r="L295" s="524"/>
      <c r="M295" s="361"/>
      <c r="N295" s="362"/>
      <c r="O295" s="365">
        <f>+'11'!U56</f>
        <v>21511.021000000001</v>
      </c>
      <c r="P295" s="434">
        <f>+'11'!AG56</f>
        <v>6255.3161199999995</v>
      </c>
      <c r="Q295" s="436">
        <f t="shared" si="5"/>
        <v>29.07958724971725</v>
      </c>
    </row>
    <row r="296" spans="2:17" ht="13.5" thickBot="1" x14ac:dyDescent="0.25">
      <c r="B296" s="521" t="str">
        <f>+'11'!B57:M57</f>
        <v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v>
      </c>
      <c r="C296" s="521"/>
      <c r="D296" s="521"/>
      <c r="E296" s="521"/>
      <c r="F296" s="522"/>
      <c r="G296" s="366" t="str">
        <f>+'11'!Q57</f>
        <v>0820299190</v>
      </c>
      <c r="H296" s="363" t="str">
        <f>+'11'!R57</f>
        <v>100</v>
      </c>
      <c r="I296" s="417">
        <f>+'11'!O57</f>
        <v>8</v>
      </c>
      <c r="J296" s="417">
        <f>+'11'!P57</f>
        <v>1</v>
      </c>
      <c r="K296" s="523"/>
      <c r="L296" s="524"/>
      <c r="M296" s="361"/>
      <c r="N296" s="362"/>
      <c r="O296" s="365">
        <f>+'11'!U57</f>
        <v>21166.821</v>
      </c>
      <c r="P296" s="434">
        <f>+'11'!AG57</f>
        <v>6225.8265499999998</v>
      </c>
      <c r="Q296" s="436">
        <f t="shared" si="5"/>
        <v>29.413139318370007</v>
      </c>
    </row>
    <row r="297" spans="2:17" ht="13.5" thickBot="1" x14ac:dyDescent="0.25">
      <c r="B297" s="521" t="str">
        <f>+'11'!B58:M58</f>
        <v>Расходы на выплаты персоналу казенных учреждений</v>
      </c>
      <c r="C297" s="521"/>
      <c r="D297" s="521"/>
      <c r="E297" s="521"/>
      <c r="F297" s="522"/>
      <c r="G297" s="366" t="str">
        <f>+'11'!Q58</f>
        <v>0820299190</v>
      </c>
      <c r="H297" s="363" t="str">
        <f>+'11'!R58</f>
        <v>110</v>
      </c>
      <c r="I297" s="417">
        <f>+'11'!O58</f>
        <v>8</v>
      </c>
      <c r="J297" s="417">
        <f>+'11'!P58</f>
        <v>1</v>
      </c>
      <c r="K297" s="523"/>
      <c r="L297" s="524"/>
      <c r="M297" s="361"/>
      <c r="N297" s="362"/>
      <c r="O297" s="365">
        <f>+'11'!U58</f>
        <v>21166.821</v>
      </c>
      <c r="P297" s="434">
        <f>+'11'!AG58</f>
        <v>6225.8265499999998</v>
      </c>
      <c r="Q297" s="436">
        <f t="shared" si="5"/>
        <v>29.413139318370007</v>
      </c>
    </row>
    <row r="298" spans="2:17" ht="13.5" thickBot="1" x14ac:dyDescent="0.25">
      <c r="B298" s="521" t="str">
        <f>+'11'!B59:M59</f>
        <v>Фонд оплаты труда учреждений</v>
      </c>
      <c r="C298" s="521"/>
      <c r="D298" s="521"/>
      <c r="E298" s="521"/>
      <c r="F298" s="522"/>
      <c r="G298" s="366" t="str">
        <f>+'11'!Q59</f>
        <v>0820299190</v>
      </c>
      <c r="H298" s="363" t="str">
        <f>+'11'!R59</f>
        <v>111</v>
      </c>
      <c r="I298" s="417">
        <f>+'11'!O59</f>
        <v>8</v>
      </c>
      <c r="J298" s="417">
        <f>+'11'!P59</f>
        <v>1</v>
      </c>
      <c r="K298" s="523"/>
      <c r="L298" s="524"/>
      <c r="M298" s="361"/>
      <c r="N298" s="362"/>
      <c r="O298" s="365">
        <f>+'11'!U59</f>
        <v>16257.159</v>
      </c>
      <c r="P298" s="434">
        <f>+'11'!AG59</f>
        <v>4782.5609999999997</v>
      </c>
      <c r="Q298" s="436">
        <f t="shared" si="5"/>
        <v>29.418184321135076</v>
      </c>
    </row>
    <row r="299" spans="2:17" ht="13.5" thickBot="1" x14ac:dyDescent="0.25">
      <c r="B299" s="521" t="str">
        <f>+'11'!B60:M60</f>
        <v>Взносы по обязательному социальному страхованию на выплаты по оплате труда работников и иные выплаты работникам учреждений</v>
      </c>
      <c r="C299" s="521"/>
      <c r="D299" s="521"/>
      <c r="E299" s="521"/>
      <c r="F299" s="522"/>
      <c r="G299" s="366" t="str">
        <f>+'11'!Q60</f>
        <v>0820299190</v>
      </c>
      <c r="H299" s="363" t="str">
        <f>+'11'!R60</f>
        <v>119</v>
      </c>
      <c r="I299" s="417">
        <f>+'11'!O60</f>
        <v>8</v>
      </c>
      <c r="J299" s="417">
        <f>+'11'!P60</f>
        <v>1</v>
      </c>
      <c r="K299" s="523"/>
      <c r="L299" s="524"/>
      <c r="M299" s="361"/>
      <c r="N299" s="362"/>
      <c r="O299" s="365">
        <f>+'11'!U60</f>
        <v>4909.6620000000003</v>
      </c>
      <c r="P299" s="434">
        <f>+'11'!AG60</f>
        <v>1443.2655500000001</v>
      </c>
      <c r="Q299" s="436">
        <f t="shared" si="5"/>
        <v>29.396434011139664</v>
      </c>
    </row>
    <row r="300" spans="2:17" ht="13.5" thickBot="1" x14ac:dyDescent="0.25">
      <c r="B300" s="521" t="str">
        <f>+'11'!B61:M61</f>
        <v>Закупка товаров, работ и услуг для обеспечения государственных (муниципальных) нужд</v>
      </c>
      <c r="C300" s="521"/>
      <c r="D300" s="521"/>
      <c r="E300" s="521"/>
      <c r="F300" s="522"/>
      <c r="G300" s="366" t="str">
        <f>+'11'!Q61</f>
        <v>0820299190</v>
      </c>
      <c r="H300" s="363" t="str">
        <f>+'11'!R61</f>
        <v>200</v>
      </c>
      <c r="I300" s="417">
        <f>+'11'!O61</f>
        <v>8</v>
      </c>
      <c r="J300" s="417">
        <f>+'11'!P61</f>
        <v>1</v>
      </c>
      <c r="K300" s="523"/>
      <c r="L300" s="524"/>
      <c r="M300" s="361"/>
      <c r="N300" s="362"/>
      <c r="O300" s="365">
        <f>+'11'!U61</f>
        <v>335.7</v>
      </c>
      <c r="P300" s="434">
        <f>+'11'!AG61</f>
        <v>29.489570000000001</v>
      </c>
      <c r="Q300" s="436">
        <f t="shared" si="5"/>
        <v>8.784501042597558</v>
      </c>
    </row>
    <row r="301" spans="2:17" ht="13.5" thickBot="1" x14ac:dyDescent="0.25">
      <c r="B301" s="521" t="str">
        <f>+'11'!B62:M62</f>
        <v>Иные закупки товаров, работ и услуг для обеспечения государственных (муниципальных) нужд</v>
      </c>
      <c r="C301" s="521"/>
      <c r="D301" s="521"/>
      <c r="E301" s="521"/>
      <c r="F301" s="522"/>
      <c r="G301" s="366" t="str">
        <f>+'11'!Q62</f>
        <v>0820299190</v>
      </c>
      <c r="H301" s="363" t="str">
        <f>+'11'!R62</f>
        <v>240</v>
      </c>
      <c r="I301" s="417">
        <f>+'11'!O62</f>
        <v>8</v>
      </c>
      <c r="J301" s="417">
        <f>+'11'!P62</f>
        <v>1</v>
      </c>
      <c r="K301" s="523"/>
      <c r="L301" s="524"/>
      <c r="M301" s="361"/>
      <c r="N301" s="362"/>
      <c r="O301" s="365">
        <f>+'11'!U62</f>
        <v>335.7</v>
      </c>
      <c r="P301" s="434">
        <f>+'11'!AG62</f>
        <v>29.489570000000001</v>
      </c>
      <c r="Q301" s="436">
        <f t="shared" si="5"/>
        <v>8.784501042597558</v>
      </c>
    </row>
    <row r="302" spans="2:17" ht="13.5" thickBot="1" x14ac:dyDescent="0.25">
      <c r="B302" s="521" t="str">
        <f>+'11'!B63:M63</f>
        <v>Закупка товаров, работ, услуг в сфере информационно-коммуникационных технологий</v>
      </c>
      <c r="C302" s="521"/>
      <c r="D302" s="521"/>
      <c r="E302" s="521"/>
      <c r="F302" s="522"/>
      <c r="G302" s="366" t="str">
        <f>+'11'!Q63</f>
        <v>0820299190</v>
      </c>
      <c r="H302" s="363" t="str">
        <f>+'11'!R63</f>
        <v>242</v>
      </c>
      <c r="I302" s="417">
        <f>+'11'!O63</f>
        <v>8</v>
      </c>
      <c r="J302" s="417">
        <f>+'11'!P63</f>
        <v>1</v>
      </c>
      <c r="K302" s="523"/>
      <c r="L302" s="524"/>
      <c r="M302" s="361"/>
      <c r="N302" s="362"/>
      <c r="O302" s="365">
        <f>+'11'!U63</f>
        <v>52.6</v>
      </c>
      <c r="P302" s="434">
        <f>+'11'!AG63</f>
        <v>24.489570000000001</v>
      </c>
      <c r="Q302" s="436">
        <f t="shared" si="5"/>
        <v>46.558117870722434</v>
      </c>
    </row>
    <row r="303" spans="2:17" ht="13.5" thickBot="1" x14ac:dyDescent="0.25">
      <c r="B303" s="521" t="str">
        <f>+'11'!B64:M64</f>
        <v>Прочая закупка товаров, работ и услуг</v>
      </c>
      <c r="C303" s="521"/>
      <c r="D303" s="521"/>
      <c r="E303" s="521"/>
      <c r="F303" s="522"/>
      <c r="G303" s="366" t="str">
        <f>+'11'!Q64</f>
        <v>0820299190</v>
      </c>
      <c r="H303" s="363" t="str">
        <f>+'11'!R64</f>
        <v>244</v>
      </c>
      <c r="I303" s="417">
        <f>+'11'!O64</f>
        <v>8</v>
      </c>
      <c r="J303" s="417">
        <f>+'11'!P64</f>
        <v>1</v>
      </c>
      <c r="K303" s="523"/>
      <c r="L303" s="524"/>
      <c r="M303" s="361"/>
      <c r="N303" s="362"/>
      <c r="O303" s="365">
        <f>+'11'!U64</f>
        <v>283.10000000000002</v>
      </c>
      <c r="P303" s="434">
        <f>+'11'!AG64</f>
        <v>5</v>
      </c>
      <c r="Q303" s="436">
        <f t="shared" si="5"/>
        <v>1.7661603673613562</v>
      </c>
    </row>
    <row r="304" spans="2:17" ht="13.5" thickBot="1" x14ac:dyDescent="0.25">
      <c r="B304" s="521" t="str">
        <f>+'11'!B65:M65</f>
        <v>Иные бюджетные ассигнования</v>
      </c>
      <c r="C304" s="521"/>
      <c r="D304" s="521"/>
      <c r="E304" s="521"/>
      <c r="F304" s="522"/>
      <c r="G304" s="366" t="str">
        <f>+'11'!Q65</f>
        <v>0820299190</v>
      </c>
      <c r="H304" s="363" t="str">
        <f>+'11'!R65</f>
        <v>800</v>
      </c>
      <c r="I304" s="417">
        <f>+'11'!O65</f>
        <v>8</v>
      </c>
      <c r="J304" s="417">
        <f>+'11'!P65</f>
        <v>1</v>
      </c>
      <c r="K304" s="523"/>
      <c r="L304" s="524"/>
      <c r="M304" s="361"/>
      <c r="N304" s="362"/>
      <c r="O304" s="365">
        <f>+'11'!U65</f>
        <v>8.5</v>
      </c>
      <c r="P304" s="434">
        <f>+'11'!AG65</f>
        <v>0</v>
      </c>
      <c r="Q304" s="436">
        <f t="shared" si="5"/>
        <v>0</v>
      </c>
    </row>
    <row r="305" spans="2:17" ht="13.5" thickBot="1" x14ac:dyDescent="0.25">
      <c r="B305" s="521" t="str">
        <f>+'11'!B66:M66</f>
        <v>Уплата налогов, сборов и иных платежей</v>
      </c>
      <c r="C305" s="521"/>
      <c r="D305" s="521"/>
      <c r="E305" s="521"/>
      <c r="F305" s="522"/>
      <c r="G305" s="366" t="str">
        <f>+'11'!Q66</f>
        <v>0820299190</v>
      </c>
      <c r="H305" s="363" t="str">
        <f>+'11'!R66</f>
        <v>850</v>
      </c>
      <c r="I305" s="417">
        <f>+'11'!O66</f>
        <v>8</v>
      </c>
      <c r="J305" s="417">
        <f>+'11'!P66</f>
        <v>1</v>
      </c>
      <c r="K305" s="523"/>
      <c r="L305" s="524"/>
      <c r="M305" s="361"/>
      <c r="N305" s="362"/>
      <c r="O305" s="365">
        <f>+'11'!U66</f>
        <v>8.5</v>
      </c>
      <c r="P305" s="434">
        <f>+'11'!AG66</f>
        <v>0</v>
      </c>
      <c r="Q305" s="436">
        <f t="shared" si="5"/>
        <v>0</v>
      </c>
    </row>
    <row r="306" spans="2:17" ht="13.5" thickBot="1" x14ac:dyDescent="0.25">
      <c r="B306" s="521" t="str">
        <f>+'11'!B67:M67</f>
        <v>Уплата налога на имущество организаций и земельного налога</v>
      </c>
      <c r="C306" s="521"/>
      <c r="D306" s="521"/>
      <c r="E306" s="521"/>
      <c r="F306" s="522"/>
      <c r="G306" s="366" t="str">
        <f>+'11'!Q67</f>
        <v>0820299190</v>
      </c>
      <c r="H306" s="363" t="str">
        <f>+'11'!R67</f>
        <v>851</v>
      </c>
      <c r="I306" s="417">
        <f>+'11'!O67</f>
        <v>8</v>
      </c>
      <c r="J306" s="417">
        <f>+'11'!P67</f>
        <v>1</v>
      </c>
      <c r="K306" s="523"/>
      <c r="L306" s="524"/>
      <c r="M306" s="361"/>
      <c r="N306" s="362"/>
      <c r="O306" s="365">
        <f>+'11'!U67</f>
        <v>6</v>
      </c>
      <c r="P306" s="434">
        <f>+'11'!AG67</f>
        <v>0</v>
      </c>
      <c r="Q306" s="436">
        <f t="shared" si="5"/>
        <v>0</v>
      </c>
    </row>
    <row r="307" spans="2:17" ht="13.5" thickBot="1" x14ac:dyDescent="0.25">
      <c r="B307" s="521" t="str">
        <f>+'11'!B68:M68</f>
        <v>Уплата прочих налогов, сборов</v>
      </c>
      <c r="C307" s="521"/>
      <c r="D307" s="521"/>
      <c r="E307" s="521"/>
      <c r="F307" s="522"/>
      <c r="G307" s="366" t="str">
        <f>+'11'!Q68</f>
        <v>0820299190</v>
      </c>
      <c r="H307" s="363" t="str">
        <f>+'11'!R68</f>
        <v>852</v>
      </c>
      <c r="I307" s="417">
        <f>+'11'!O68</f>
        <v>8</v>
      </c>
      <c r="J307" s="417">
        <f>+'11'!P68</f>
        <v>1</v>
      </c>
      <c r="K307" s="523"/>
      <c r="L307" s="524"/>
      <c r="M307" s="361"/>
      <c r="N307" s="362"/>
      <c r="O307" s="365">
        <f>+'11'!U68</f>
        <v>2.5</v>
      </c>
      <c r="P307" s="434">
        <f>+'11'!AG68</f>
        <v>0</v>
      </c>
      <c r="Q307" s="436">
        <f t="shared" si="5"/>
        <v>0</v>
      </c>
    </row>
    <row r="308" spans="2:17" ht="13.5" thickBot="1" x14ac:dyDescent="0.25">
      <c r="B308" s="521" t="str">
        <f>+'11'!B69:M69</f>
        <v>Муниципальная программа "Развитие культуры Овюрского кожууна</v>
      </c>
      <c r="C308" s="521"/>
      <c r="D308" s="521"/>
      <c r="E308" s="521"/>
      <c r="F308" s="522"/>
      <c r="G308" s="366" t="str">
        <f>+'11'!Q69</f>
        <v>0800000000</v>
      </c>
      <c r="H308" s="363">
        <f>+'11'!R69</f>
        <v>0</v>
      </c>
      <c r="I308" s="417">
        <f>+'11'!O69</f>
        <v>8</v>
      </c>
      <c r="J308" s="417">
        <f>+'11'!P69</f>
        <v>1</v>
      </c>
      <c r="K308" s="523"/>
      <c r="L308" s="524"/>
      <c r="M308" s="361"/>
      <c r="N308" s="362"/>
      <c r="O308" s="365">
        <f>+'11'!U69</f>
        <v>205</v>
      </c>
      <c r="P308" s="434">
        <f>+'11'!AG69</f>
        <v>0</v>
      </c>
      <c r="Q308" s="436">
        <f t="shared" si="5"/>
        <v>0</v>
      </c>
    </row>
    <row r="309" spans="2:17" ht="13.5" thickBot="1" x14ac:dyDescent="0.25">
      <c r="B309" s="521" t="str">
        <f>+'11'!B70:M70</f>
        <v>Подпрограмма "Развитие туризма на территории Овюрского кожууна"</v>
      </c>
      <c r="C309" s="521"/>
      <c r="D309" s="521"/>
      <c r="E309" s="521"/>
      <c r="F309" s="522"/>
      <c r="G309" s="366" t="str">
        <f>+'11'!Q70</f>
        <v>0840000000</v>
      </c>
      <c r="H309" s="363">
        <f>+'11'!R70</f>
        <v>0</v>
      </c>
      <c r="I309" s="417">
        <f>+'11'!O70</f>
        <v>8</v>
      </c>
      <c r="J309" s="417">
        <f>+'11'!P70</f>
        <v>1</v>
      </c>
      <c r="K309" s="523"/>
      <c r="L309" s="524"/>
      <c r="M309" s="361"/>
      <c r="N309" s="362"/>
      <c r="O309" s="365">
        <f>+'11'!U70</f>
        <v>205</v>
      </c>
      <c r="P309" s="434">
        <f>+'11'!AG70</f>
        <v>0</v>
      </c>
      <c r="Q309" s="436">
        <f t="shared" si="5"/>
        <v>0</v>
      </c>
    </row>
    <row r="310" spans="2:17" ht="13.5" thickBot="1" x14ac:dyDescent="0.25">
      <c r="B310" s="521" t="str">
        <f>+'11'!B71:M71</f>
        <v>Реализация мер по развитию турризма на ерритории Овюрского кожууна РТ</v>
      </c>
      <c r="C310" s="521"/>
      <c r="D310" s="521"/>
      <c r="E310" s="521"/>
      <c r="F310" s="522"/>
      <c r="G310" s="366" t="str">
        <f>+'11'!Q71</f>
        <v>0840047000</v>
      </c>
      <c r="H310" s="363">
        <f>+'11'!R71</f>
        <v>0</v>
      </c>
      <c r="I310" s="417">
        <f>+'11'!O71</f>
        <v>8</v>
      </c>
      <c r="J310" s="417">
        <f>+'11'!P71</f>
        <v>1</v>
      </c>
      <c r="K310" s="523"/>
      <c r="L310" s="524"/>
      <c r="M310" s="361"/>
      <c r="N310" s="362"/>
      <c r="O310" s="365">
        <f>+'11'!U71</f>
        <v>205</v>
      </c>
      <c r="P310" s="434">
        <f>+'11'!AG71</f>
        <v>0</v>
      </c>
      <c r="Q310" s="436">
        <f t="shared" si="5"/>
        <v>0</v>
      </c>
    </row>
    <row r="311" spans="2:17" ht="13.5" thickBot="1" x14ac:dyDescent="0.25">
      <c r="B311" s="521" t="str">
        <f>+'11'!B72:M72</f>
        <v>Закупка товаров, работ и услуг для обеспечения государственных (муниципальных) нужд</v>
      </c>
      <c r="C311" s="521"/>
      <c r="D311" s="521"/>
      <c r="E311" s="521"/>
      <c r="F311" s="522"/>
      <c r="G311" s="366" t="str">
        <f>+'11'!Q72</f>
        <v>0840047000</v>
      </c>
      <c r="H311" s="363" t="str">
        <f>+'11'!R72</f>
        <v>200</v>
      </c>
      <c r="I311" s="417">
        <f>+'11'!O72</f>
        <v>8</v>
      </c>
      <c r="J311" s="417">
        <f>+'11'!P72</f>
        <v>1</v>
      </c>
      <c r="K311" s="523"/>
      <c r="L311" s="524"/>
      <c r="M311" s="361"/>
      <c r="N311" s="362"/>
      <c r="O311" s="365">
        <f>+'11'!U72</f>
        <v>205</v>
      </c>
      <c r="P311" s="434">
        <f>+'11'!AG72</f>
        <v>0</v>
      </c>
      <c r="Q311" s="436">
        <f t="shared" si="5"/>
        <v>0</v>
      </c>
    </row>
    <row r="312" spans="2:17" ht="13.5" thickBot="1" x14ac:dyDescent="0.25">
      <c r="B312" s="521" t="str">
        <f>+'11'!B73:M73</f>
        <v>Иные закупки товаров, работ и услуг для обеспечения государственных (муниципальных) нужд</v>
      </c>
      <c r="C312" s="521"/>
      <c r="D312" s="521"/>
      <c r="E312" s="521"/>
      <c r="F312" s="522"/>
      <c r="G312" s="366" t="str">
        <f>+'11'!Q73</f>
        <v>0840047000</v>
      </c>
      <c r="H312" s="363" t="str">
        <f>+'11'!R73</f>
        <v>240</v>
      </c>
      <c r="I312" s="417">
        <f>+'11'!O73</f>
        <v>8</v>
      </c>
      <c r="J312" s="417">
        <f>+'11'!P73</f>
        <v>1</v>
      </c>
      <c r="K312" s="523"/>
      <c r="L312" s="524"/>
      <c r="M312" s="361"/>
      <c r="N312" s="362"/>
      <c r="O312" s="365">
        <f>+'11'!U73</f>
        <v>205</v>
      </c>
      <c r="P312" s="434">
        <f>+'11'!AG73</f>
        <v>0</v>
      </c>
      <c r="Q312" s="436">
        <f t="shared" si="5"/>
        <v>0</v>
      </c>
    </row>
    <row r="313" spans="2:17" ht="13.5" thickBot="1" x14ac:dyDescent="0.25">
      <c r="B313" s="521" t="str">
        <f>+'11'!B74:M74</f>
        <v>Прочая закупка товаров, работ и услуг</v>
      </c>
      <c r="C313" s="521"/>
      <c r="D313" s="521"/>
      <c r="E313" s="521"/>
      <c r="F313" s="522"/>
      <c r="G313" s="366" t="str">
        <f>+'11'!Q74</f>
        <v>0840047000</v>
      </c>
      <c r="H313" s="363" t="str">
        <f>+'11'!R74</f>
        <v>244</v>
      </c>
      <c r="I313" s="417">
        <f>+'11'!O74</f>
        <v>8</v>
      </c>
      <c r="J313" s="417">
        <f>+'11'!P74</f>
        <v>1</v>
      </c>
      <c r="K313" s="523"/>
      <c r="L313" s="524"/>
      <c r="M313" s="361"/>
      <c r="N313" s="362"/>
      <c r="O313" s="365">
        <f>+'11'!U74</f>
        <v>205</v>
      </c>
      <c r="P313" s="434">
        <f>+'11'!AG74</f>
        <v>0</v>
      </c>
      <c r="Q313" s="436">
        <f t="shared" si="5"/>
        <v>0</v>
      </c>
    </row>
    <row r="314" spans="2:17" ht="13.5" thickBot="1" x14ac:dyDescent="0.25">
      <c r="B314" s="521" t="str">
        <f>+'11'!B83:M83</f>
        <v>Другие вопросы в области культуры, кинематографии</v>
      </c>
      <c r="C314" s="521"/>
      <c r="D314" s="521"/>
      <c r="E314" s="521"/>
      <c r="F314" s="522"/>
      <c r="G314" s="366">
        <f>+'11'!Q83</f>
        <v>0</v>
      </c>
      <c r="H314" s="363">
        <f>+'11'!R83</f>
        <v>0</v>
      </c>
      <c r="I314" s="417">
        <f>+'11'!O83</f>
        <v>8</v>
      </c>
      <c r="J314" s="417">
        <f>+'11'!P83</f>
        <v>4</v>
      </c>
      <c r="K314" s="523"/>
      <c r="L314" s="524"/>
      <c r="M314" s="361"/>
      <c r="N314" s="362"/>
      <c r="O314" s="365">
        <f>+'11'!U83</f>
        <v>2725.748</v>
      </c>
      <c r="P314" s="434">
        <f>+'11'!AG83</f>
        <v>690.84724000000006</v>
      </c>
      <c r="Q314" s="436">
        <f t="shared" si="5"/>
        <v>25.345235142793832</v>
      </c>
    </row>
    <row r="315" spans="2:17" ht="13.5" thickBot="1" x14ac:dyDescent="0.25">
      <c r="B315" s="521" t="str">
        <f>+'11'!B84:M84</f>
        <v>Муниципальная программа "Развитие культуры Овюрского кожууна</v>
      </c>
      <c r="C315" s="521"/>
      <c r="D315" s="521"/>
      <c r="E315" s="521"/>
      <c r="F315" s="522"/>
      <c r="G315" s="366" t="str">
        <f>+'11'!Q84</f>
        <v>0800000000</v>
      </c>
      <c r="H315" s="363">
        <f>+'11'!R84</f>
        <v>0</v>
      </c>
      <c r="I315" s="417">
        <f>+'11'!O84</f>
        <v>8</v>
      </c>
      <c r="J315" s="417">
        <f>+'11'!P84</f>
        <v>4</v>
      </c>
      <c r="K315" s="523"/>
      <c r="L315" s="524"/>
      <c r="M315" s="361"/>
      <c r="N315" s="362"/>
      <c r="O315" s="365">
        <f>+'11'!U84</f>
        <v>822.73099999999999</v>
      </c>
      <c r="P315" s="434">
        <f>+'11'!AG84</f>
        <v>184.39445000000001</v>
      </c>
      <c r="Q315" s="436">
        <f t="shared" si="5"/>
        <v>22.412483545654656</v>
      </c>
    </row>
    <row r="316" spans="2:17" ht="13.5" thickBot="1" x14ac:dyDescent="0.25">
      <c r="B316" s="521" t="str">
        <f>+'11'!B85:M85</f>
        <v>подпрограмма "Обеспечение реализации муниципальной программы и прочие мероприятия в сфере культуры"</v>
      </c>
      <c r="C316" s="521"/>
      <c r="D316" s="521"/>
      <c r="E316" s="521"/>
      <c r="F316" s="522"/>
      <c r="G316" s="366" t="str">
        <f>+'11'!Q85</f>
        <v>0830000000</v>
      </c>
      <c r="H316" s="363">
        <f>+'11'!R85</f>
        <v>0</v>
      </c>
      <c r="I316" s="417">
        <f>+'11'!O85</f>
        <v>8</v>
      </c>
      <c r="J316" s="417">
        <f>+'11'!P85</f>
        <v>4</v>
      </c>
      <c r="K316" s="523"/>
      <c r="L316" s="524"/>
      <c r="M316" s="361"/>
      <c r="N316" s="362"/>
      <c r="O316" s="365">
        <f>+'11'!U85</f>
        <v>822.73099999999999</v>
      </c>
      <c r="P316" s="434">
        <f>+'11'!AG85</f>
        <v>184.39445000000001</v>
      </c>
      <c r="Q316" s="436">
        <f t="shared" si="5"/>
        <v>22.412483545654656</v>
      </c>
    </row>
    <row r="317" spans="2:17" ht="13.5" thickBot="1" x14ac:dyDescent="0.25">
      <c r="B317" s="521" t="str">
        <f>+'11'!B86:M86</f>
        <v>Разработка нормативно-правовых, методических и иных документов, направленных на эффективное решение задач</v>
      </c>
      <c r="C317" s="521"/>
      <c r="D317" s="521"/>
      <c r="E317" s="521"/>
      <c r="F317" s="522"/>
      <c r="G317" s="366" t="str">
        <f>+'11'!Q86</f>
        <v>0830120419</v>
      </c>
      <c r="H317" s="363">
        <f>+'11'!R86</f>
        <v>0</v>
      </c>
      <c r="I317" s="417">
        <f>+'11'!O86</f>
        <v>8</v>
      </c>
      <c r="J317" s="417">
        <f>+'11'!P86</f>
        <v>4</v>
      </c>
      <c r="K317" s="523"/>
      <c r="L317" s="524"/>
      <c r="M317" s="361"/>
      <c r="N317" s="362"/>
      <c r="O317" s="365">
        <f>+'11'!U86</f>
        <v>822.73099999999999</v>
      </c>
      <c r="P317" s="434">
        <f>+'11'!AG86</f>
        <v>184.39445000000001</v>
      </c>
      <c r="Q317" s="436">
        <f t="shared" si="5"/>
        <v>22.412483545654656</v>
      </c>
    </row>
    <row r="318" spans="2:17" ht="13.5" thickBot="1" x14ac:dyDescent="0.25">
      <c r="B318" s="521" t="str">
        <f>+'11'!B87:M87</f>
        <v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v>
      </c>
      <c r="C318" s="521"/>
      <c r="D318" s="521"/>
      <c r="E318" s="521"/>
      <c r="F318" s="522"/>
      <c r="G318" s="366" t="str">
        <f>+'11'!Q87</f>
        <v>0830120419</v>
      </c>
      <c r="H318" s="363" t="str">
        <f>+'11'!R87</f>
        <v>100</v>
      </c>
      <c r="I318" s="417">
        <f>+'11'!O87</f>
        <v>8</v>
      </c>
      <c r="J318" s="417">
        <f>+'11'!P87</f>
        <v>4</v>
      </c>
      <c r="K318" s="523"/>
      <c r="L318" s="524"/>
      <c r="M318" s="361"/>
      <c r="N318" s="362"/>
      <c r="O318" s="365">
        <f>+'11'!U87</f>
        <v>820.57100000000003</v>
      </c>
      <c r="P318" s="434">
        <f>+'11'!AG87</f>
        <v>184.39445000000001</v>
      </c>
      <c r="Q318" s="436">
        <f t="shared" si="5"/>
        <v>22.471480225355268</v>
      </c>
    </row>
    <row r="319" spans="2:17" ht="13.5" thickBot="1" x14ac:dyDescent="0.25">
      <c r="B319" s="521" t="str">
        <f>+'11'!B88:M88</f>
        <v>Расходы на выплаты персоналу государственных (муниципальных) органов</v>
      </c>
      <c r="C319" s="521"/>
      <c r="D319" s="521"/>
      <c r="E319" s="521"/>
      <c r="F319" s="522"/>
      <c r="G319" s="366" t="str">
        <f>+'11'!Q88</f>
        <v>0830120419</v>
      </c>
      <c r="H319" s="363" t="str">
        <f>+'11'!R88</f>
        <v>120</v>
      </c>
      <c r="I319" s="417">
        <f>+'11'!O88</f>
        <v>8</v>
      </c>
      <c r="J319" s="417">
        <f>+'11'!P88</f>
        <v>4</v>
      </c>
      <c r="K319" s="523"/>
      <c r="L319" s="524"/>
      <c r="M319" s="361"/>
      <c r="N319" s="362"/>
      <c r="O319" s="365">
        <f>+'11'!U88</f>
        <v>820.57100000000003</v>
      </c>
      <c r="P319" s="434">
        <f>+'11'!AG88</f>
        <v>184.39445000000001</v>
      </c>
      <c r="Q319" s="436">
        <f t="shared" si="5"/>
        <v>22.471480225355268</v>
      </c>
    </row>
    <row r="320" spans="2:17" ht="13.5" thickBot="1" x14ac:dyDescent="0.25">
      <c r="B320" s="521" t="str">
        <f>+'11'!B89:M89</f>
        <v>Фонд оплаты труда государственных (муниципальных) органов</v>
      </c>
      <c r="C320" s="521"/>
      <c r="D320" s="521"/>
      <c r="E320" s="521"/>
      <c r="F320" s="522"/>
      <c r="G320" s="366" t="str">
        <f>+'11'!Q89</f>
        <v>0830120419</v>
      </c>
      <c r="H320" s="363" t="str">
        <f>+'11'!R89</f>
        <v>121</v>
      </c>
      <c r="I320" s="417">
        <f>+'11'!O89</f>
        <v>8</v>
      </c>
      <c r="J320" s="417">
        <f>+'11'!P89</f>
        <v>4</v>
      </c>
      <c r="K320" s="523"/>
      <c r="L320" s="524"/>
      <c r="M320" s="361"/>
      <c r="N320" s="362"/>
      <c r="O320" s="365">
        <f>+'11'!U89</f>
        <v>630.23900000000003</v>
      </c>
      <c r="P320" s="434">
        <f>+'11'!AG89</f>
        <v>141.624</v>
      </c>
      <c r="Q320" s="436">
        <f t="shared" si="5"/>
        <v>22.47147510706256</v>
      </c>
    </row>
    <row r="321" spans="2:17" ht="13.5" thickBot="1" x14ac:dyDescent="0.25">
      <c r="B321" s="521" t="str">
        <f>+'11'!B90:M90</f>
        <v>Взносы по обязательному социальному страхованию на выплаты денежного содержания и иные выплаты работникам государственных (муниципальных) органов</v>
      </c>
      <c r="C321" s="521"/>
      <c r="D321" s="521"/>
      <c r="E321" s="521"/>
      <c r="F321" s="522"/>
      <c r="G321" s="366" t="str">
        <f>+'11'!Q90</f>
        <v>0830120419</v>
      </c>
      <c r="H321" s="363" t="str">
        <f>+'11'!R90</f>
        <v>129</v>
      </c>
      <c r="I321" s="417">
        <f>+'11'!O90</f>
        <v>8</v>
      </c>
      <c r="J321" s="417">
        <f>+'11'!P90</f>
        <v>4</v>
      </c>
      <c r="K321" s="523"/>
      <c r="L321" s="524"/>
      <c r="M321" s="361"/>
      <c r="N321" s="362"/>
      <c r="O321" s="365">
        <f>+'11'!U90</f>
        <v>190.33199999999999</v>
      </c>
      <c r="P321" s="434">
        <f>+'11'!AG90</f>
        <v>42.770449999999997</v>
      </c>
      <c r="Q321" s="436">
        <f t="shared" si="5"/>
        <v>22.471497173360234</v>
      </c>
    </row>
    <row r="322" spans="2:17" ht="13.5" thickBot="1" x14ac:dyDescent="0.25">
      <c r="B322" s="521" t="str">
        <f>+'11'!B91:M91</f>
        <v>Закупка товаров, работ и услуг для обеспечения государственных (муниципальных) нужд</v>
      </c>
      <c r="C322" s="521"/>
      <c r="D322" s="521"/>
      <c r="E322" s="521"/>
      <c r="F322" s="522"/>
      <c r="G322" s="366" t="str">
        <f>+'11'!Q91</f>
        <v>0830120419</v>
      </c>
      <c r="H322" s="363" t="str">
        <f>+'11'!R91</f>
        <v>200</v>
      </c>
      <c r="I322" s="417">
        <f>+'11'!O91</f>
        <v>8</v>
      </c>
      <c r="J322" s="417">
        <f>+'11'!P91</f>
        <v>4</v>
      </c>
      <c r="K322" s="523"/>
      <c r="L322" s="524"/>
      <c r="M322" s="361"/>
      <c r="N322" s="362"/>
      <c r="O322" s="365">
        <f>+'11'!U91</f>
        <v>2.16</v>
      </c>
      <c r="P322" s="434">
        <f>+'11'!AG91</f>
        <v>0</v>
      </c>
      <c r="Q322" s="436">
        <f t="shared" si="5"/>
        <v>0</v>
      </c>
    </row>
    <row r="323" spans="2:17" ht="13.5" thickBot="1" x14ac:dyDescent="0.25">
      <c r="B323" s="521" t="str">
        <f>+'11'!B92:M92</f>
        <v>Иные закупки товаров, работ и услуг для обеспечения государственных (муниципальных) нужд</v>
      </c>
      <c r="C323" s="521"/>
      <c r="D323" s="521"/>
      <c r="E323" s="521"/>
      <c r="F323" s="522"/>
      <c r="G323" s="366" t="str">
        <f>+'11'!Q92</f>
        <v>0830120419</v>
      </c>
      <c r="H323" s="363" t="str">
        <f>+'11'!R92</f>
        <v>240</v>
      </c>
      <c r="I323" s="417">
        <f>+'11'!O92</f>
        <v>8</v>
      </c>
      <c r="J323" s="417">
        <f>+'11'!P92</f>
        <v>4</v>
      </c>
      <c r="K323" s="523"/>
      <c r="L323" s="524"/>
      <c r="M323" s="361"/>
      <c r="N323" s="362"/>
      <c r="O323" s="365">
        <f>+'11'!U92</f>
        <v>2.16</v>
      </c>
      <c r="P323" s="434">
        <f>+'11'!AG92</f>
        <v>0</v>
      </c>
      <c r="Q323" s="436">
        <f t="shared" si="5"/>
        <v>0</v>
      </c>
    </row>
    <row r="324" spans="2:17" ht="13.5" thickBot="1" x14ac:dyDescent="0.25">
      <c r="B324" s="521" t="str">
        <f>+'11'!B93:M93</f>
        <v>Прочая закупка товаров, работ и услуг</v>
      </c>
      <c r="C324" s="521"/>
      <c r="D324" s="521"/>
      <c r="E324" s="521"/>
      <c r="F324" s="522"/>
      <c r="G324" s="366" t="str">
        <f>+'11'!Q93</f>
        <v>0830120419</v>
      </c>
      <c r="H324" s="363" t="str">
        <f>+'11'!R93</f>
        <v>244</v>
      </c>
      <c r="I324" s="417">
        <f>+'11'!O93</f>
        <v>8</v>
      </c>
      <c r="J324" s="417">
        <f>+'11'!P93</f>
        <v>4</v>
      </c>
      <c r="K324" s="523"/>
      <c r="L324" s="524"/>
      <c r="M324" s="361"/>
      <c r="N324" s="362"/>
      <c r="O324" s="365">
        <f>+'11'!U93</f>
        <v>2.16</v>
      </c>
      <c r="P324" s="434">
        <f>+'11'!AG93</f>
        <v>0</v>
      </c>
      <c r="Q324" s="436">
        <f t="shared" si="5"/>
        <v>0</v>
      </c>
    </row>
    <row r="325" spans="2:17" ht="13.5" thickBot="1" x14ac:dyDescent="0.25">
      <c r="B325" s="521" t="str">
        <f>+'11'!B94:M94</f>
        <v>Муниципальная программа "Развитие культуры Овюрского кожууна</v>
      </c>
      <c r="C325" s="521"/>
      <c r="D325" s="521"/>
      <c r="E325" s="521"/>
      <c r="F325" s="522"/>
      <c r="G325" s="366" t="str">
        <f>+'11'!Q94</f>
        <v>0800000000</v>
      </c>
      <c r="H325" s="363">
        <f>+'11'!R94</f>
        <v>0</v>
      </c>
      <c r="I325" s="417">
        <f>+'11'!O94</f>
        <v>8</v>
      </c>
      <c r="J325" s="417">
        <f>+'11'!P94</f>
        <v>4</v>
      </c>
      <c r="K325" s="523"/>
      <c r="L325" s="524"/>
      <c r="M325" s="361"/>
      <c r="N325" s="362"/>
      <c r="O325" s="365">
        <f>+'11'!U94</f>
        <v>1903.0170000000001</v>
      </c>
      <c r="P325" s="434">
        <f>+'11'!AG94</f>
        <v>506.45278999999999</v>
      </c>
      <c r="Q325" s="436">
        <f t="shared" si="5"/>
        <v>26.613151117409878</v>
      </c>
    </row>
    <row r="326" spans="2:17" ht="13.5" thickBot="1" x14ac:dyDescent="0.25">
      <c r="B326" s="521" t="str">
        <f>+'11'!B95:M95</f>
        <v>подпрограмма "Обеспечение реализации муниципальной программы и прочие мероприятия в сфере культуры"</v>
      </c>
      <c r="C326" s="521"/>
      <c r="D326" s="521"/>
      <c r="E326" s="521"/>
      <c r="F326" s="522"/>
      <c r="G326" s="366" t="str">
        <f>+'11'!Q95</f>
        <v>0830000000</v>
      </c>
      <c r="H326" s="363">
        <f>+'11'!R95</f>
        <v>0</v>
      </c>
      <c r="I326" s="417">
        <f>+'11'!O95</f>
        <v>8</v>
      </c>
      <c r="J326" s="417">
        <f>+'11'!P95</f>
        <v>4</v>
      </c>
      <c r="K326" s="523"/>
      <c r="L326" s="524"/>
      <c r="M326" s="361"/>
      <c r="N326" s="362"/>
      <c r="O326" s="365">
        <f>+'11'!U95</f>
        <v>1903.0170000000001</v>
      </c>
      <c r="P326" s="434">
        <f>+'11'!AG95</f>
        <v>506.45278999999999</v>
      </c>
      <c r="Q326" s="436">
        <f t="shared" si="5"/>
        <v>26.613151117409878</v>
      </c>
    </row>
    <row r="327" spans="2:17" ht="13.5" thickBot="1" x14ac:dyDescent="0.25">
      <c r="B327" s="521" t="str">
        <f>+'11'!B96:M96</f>
        <v xml:space="preserve">Обеспечение организационных, информационных и методических условий </v>
      </c>
      <c r="C327" s="521"/>
      <c r="D327" s="521"/>
      <c r="E327" s="521"/>
      <c r="F327" s="522"/>
      <c r="G327" s="366" t="str">
        <f>+'11'!Q96</f>
        <v>0830200019</v>
      </c>
      <c r="H327" s="363">
        <f>+'11'!R96</f>
        <v>0</v>
      </c>
      <c r="I327" s="417">
        <f>+'11'!O96</f>
        <v>8</v>
      </c>
      <c r="J327" s="417">
        <f>+'11'!P96</f>
        <v>4</v>
      </c>
      <c r="K327" s="523"/>
      <c r="L327" s="524"/>
      <c r="M327" s="361"/>
      <c r="N327" s="362"/>
      <c r="O327" s="365">
        <f>+'11'!U96</f>
        <v>1903.0170000000001</v>
      </c>
      <c r="P327" s="434">
        <f>+'11'!AG96</f>
        <v>506.45278999999999</v>
      </c>
      <c r="Q327" s="436">
        <f t="shared" si="5"/>
        <v>26.613151117409878</v>
      </c>
    </row>
    <row r="328" spans="2:17" ht="13.5" thickBot="1" x14ac:dyDescent="0.25">
      <c r="B328" s="521" t="str">
        <f>+'11'!B97:M97</f>
        <v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v>
      </c>
      <c r="C328" s="521"/>
      <c r="D328" s="521"/>
      <c r="E328" s="521"/>
      <c r="F328" s="522"/>
      <c r="G328" s="366" t="str">
        <f>+'11'!Q97</f>
        <v>0830200019</v>
      </c>
      <c r="H328" s="363" t="str">
        <f>+'11'!R97</f>
        <v>100</v>
      </c>
      <c r="I328" s="417">
        <f>+'11'!O97</f>
        <v>8</v>
      </c>
      <c r="J328" s="417">
        <f>+'11'!P97</f>
        <v>4</v>
      </c>
      <c r="K328" s="523"/>
      <c r="L328" s="524"/>
      <c r="M328" s="361"/>
      <c r="N328" s="362"/>
      <c r="O328" s="365">
        <f>+'11'!U97</f>
        <v>1663.0509999999999</v>
      </c>
      <c r="P328" s="434">
        <f>+'11'!AG97</f>
        <v>458.03278999999998</v>
      </c>
      <c r="Q328" s="436">
        <f t="shared" si="5"/>
        <v>27.541716399557199</v>
      </c>
    </row>
    <row r="329" spans="2:17" ht="13.5" thickBot="1" x14ac:dyDescent="0.25">
      <c r="B329" s="521" t="str">
        <f>+'11'!B98:M98</f>
        <v>Расходы на выплаты персоналу казенных учреждений</v>
      </c>
      <c r="C329" s="521"/>
      <c r="D329" s="521"/>
      <c r="E329" s="521"/>
      <c r="F329" s="522"/>
      <c r="G329" s="366" t="str">
        <f>+'11'!Q98</f>
        <v>0830200019</v>
      </c>
      <c r="H329" s="363" t="str">
        <f>+'11'!R98</f>
        <v>110</v>
      </c>
      <c r="I329" s="417">
        <f>+'11'!O98</f>
        <v>8</v>
      </c>
      <c r="J329" s="417">
        <f>+'11'!P98</f>
        <v>4</v>
      </c>
      <c r="K329" s="523"/>
      <c r="L329" s="524"/>
      <c r="M329" s="361"/>
      <c r="N329" s="362"/>
      <c r="O329" s="365">
        <f>+'11'!U98</f>
        <v>1663.0509999999999</v>
      </c>
      <c r="P329" s="434">
        <f>+'11'!AG98</f>
        <v>458.03278999999998</v>
      </c>
      <c r="Q329" s="436">
        <f t="shared" si="5"/>
        <v>27.541716399557199</v>
      </c>
    </row>
    <row r="330" spans="2:17" ht="13.5" thickBot="1" x14ac:dyDescent="0.25">
      <c r="B330" s="521" t="str">
        <f>+'11'!B99:M99</f>
        <v>Фонд оплаты труда учреждений</v>
      </c>
      <c r="C330" s="521"/>
      <c r="D330" s="521"/>
      <c r="E330" s="521"/>
      <c r="F330" s="522"/>
      <c r="G330" s="366" t="str">
        <f>+'11'!Q99</f>
        <v>0830200019</v>
      </c>
      <c r="H330" s="363" t="str">
        <f>+'11'!R99</f>
        <v>111</v>
      </c>
      <c r="I330" s="417">
        <f>+'11'!O99</f>
        <v>8</v>
      </c>
      <c r="J330" s="417">
        <f>+'11'!P99</f>
        <v>4</v>
      </c>
      <c r="K330" s="523"/>
      <c r="L330" s="524"/>
      <c r="M330" s="361"/>
      <c r="N330" s="362"/>
      <c r="O330" s="365">
        <f>+'11'!U99</f>
        <v>1277.3050000000001</v>
      </c>
      <c r="P330" s="434">
        <f>+'11'!AG99</f>
        <v>352.95400000000001</v>
      </c>
      <c r="Q330" s="436">
        <f t="shared" si="5"/>
        <v>27.632711059613797</v>
      </c>
    </row>
    <row r="331" spans="2:17" ht="13.5" thickBot="1" x14ac:dyDescent="0.25">
      <c r="B331" s="521" t="str">
        <f>+'11'!B100:M100</f>
        <v>Взносы по обязательному социальному страхованию на выплаты по оплате труда работников и иные выплаты работникам учреждений</v>
      </c>
      <c r="C331" s="521"/>
      <c r="D331" s="521"/>
      <c r="E331" s="521"/>
      <c r="F331" s="522"/>
      <c r="G331" s="366" t="str">
        <f>+'11'!Q100</f>
        <v>0830200019</v>
      </c>
      <c r="H331" s="363" t="str">
        <f>+'11'!R100</f>
        <v>119</v>
      </c>
      <c r="I331" s="417">
        <f>+'11'!O100</f>
        <v>8</v>
      </c>
      <c r="J331" s="417">
        <f>+'11'!P100</f>
        <v>4</v>
      </c>
      <c r="K331" s="523"/>
      <c r="L331" s="524"/>
      <c r="M331" s="361"/>
      <c r="N331" s="362"/>
      <c r="O331" s="365">
        <f>+'11'!U100</f>
        <v>385.74599999999998</v>
      </c>
      <c r="P331" s="434">
        <f>+'11'!AG100</f>
        <v>105.07879</v>
      </c>
      <c r="Q331" s="436">
        <f t="shared" si="5"/>
        <v>27.24040949225656</v>
      </c>
    </row>
    <row r="332" spans="2:17" ht="13.5" thickBot="1" x14ac:dyDescent="0.25">
      <c r="B332" s="521" t="str">
        <f>+'11'!B101:M101</f>
        <v>Закупка товаров, работ и услуг для обеспечения государственных (муниципальных) нужд</v>
      </c>
      <c r="C332" s="521"/>
      <c r="D332" s="521"/>
      <c r="E332" s="521"/>
      <c r="F332" s="522"/>
      <c r="G332" s="366" t="str">
        <f>+'11'!Q101</f>
        <v>0830200019</v>
      </c>
      <c r="H332" s="363" t="str">
        <f>+'11'!R101</f>
        <v>200</v>
      </c>
      <c r="I332" s="417">
        <f>+'11'!O101</f>
        <v>8</v>
      </c>
      <c r="J332" s="417">
        <f>+'11'!P101</f>
        <v>4</v>
      </c>
      <c r="K332" s="523"/>
      <c r="L332" s="524"/>
      <c r="M332" s="361"/>
      <c r="N332" s="362"/>
      <c r="O332" s="365">
        <f>+'11'!U101</f>
        <v>239.96600000000001</v>
      </c>
      <c r="P332" s="434">
        <f>+'11'!AG101</f>
        <v>48.42</v>
      </c>
      <c r="Q332" s="436">
        <f t="shared" si="5"/>
        <v>20.17785852995841</v>
      </c>
    </row>
    <row r="333" spans="2:17" ht="13.5" thickBot="1" x14ac:dyDescent="0.25">
      <c r="B333" s="521" t="str">
        <f>+'11'!B102:M102</f>
        <v>Иные закупки товаров, работ и услуг для обеспечения государственных (муниципальных) нужд</v>
      </c>
      <c r="C333" s="521"/>
      <c r="D333" s="521"/>
      <c r="E333" s="521"/>
      <c r="F333" s="522"/>
      <c r="G333" s="366" t="str">
        <f>+'11'!Q102</f>
        <v>0830200019</v>
      </c>
      <c r="H333" s="363" t="str">
        <f>+'11'!R102</f>
        <v>240</v>
      </c>
      <c r="I333" s="417">
        <f>+'11'!O102</f>
        <v>8</v>
      </c>
      <c r="J333" s="417">
        <f>+'11'!P102</f>
        <v>4</v>
      </c>
      <c r="K333" s="523"/>
      <c r="L333" s="524"/>
      <c r="M333" s="361"/>
      <c r="N333" s="362"/>
      <c r="O333" s="365">
        <f>+'11'!U102</f>
        <v>239.96600000000001</v>
      </c>
      <c r="P333" s="434">
        <f>+'11'!AG102</f>
        <v>48.42</v>
      </c>
      <c r="Q333" s="436">
        <f t="shared" si="5"/>
        <v>20.17785852995841</v>
      </c>
    </row>
    <row r="334" spans="2:17" ht="13.5" thickBot="1" x14ac:dyDescent="0.25">
      <c r="B334" s="521" t="str">
        <f>+'11'!B103:M103</f>
        <v>Закупка товаров, работ, услуг в сфере информационно-коммуникационных технологий</v>
      </c>
      <c r="C334" s="521"/>
      <c r="D334" s="521"/>
      <c r="E334" s="521"/>
      <c r="F334" s="522"/>
      <c r="G334" s="366" t="str">
        <f>+'11'!Q103</f>
        <v>0830200019</v>
      </c>
      <c r="H334" s="363" t="str">
        <f>+'11'!R103</f>
        <v>242</v>
      </c>
      <c r="I334" s="417">
        <f>+'11'!O103</f>
        <v>8</v>
      </c>
      <c r="J334" s="417">
        <f>+'11'!P103</f>
        <v>4</v>
      </c>
      <c r="K334" s="523"/>
      <c r="L334" s="524"/>
      <c r="M334" s="361"/>
      <c r="N334" s="362"/>
      <c r="O334" s="365">
        <f>+'11'!U103</f>
        <v>118.086</v>
      </c>
      <c r="P334" s="434">
        <f>+'11'!AG103</f>
        <v>38.42</v>
      </c>
      <c r="Q334" s="436">
        <f t="shared" si="5"/>
        <v>32.535609640431552</v>
      </c>
    </row>
    <row r="335" spans="2:17" ht="13.5" thickBot="1" x14ac:dyDescent="0.25">
      <c r="B335" s="521" t="str">
        <f>+'11'!B104:M104</f>
        <v>Прочая закупка товаров, работ и услуг</v>
      </c>
      <c r="C335" s="521"/>
      <c r="D335" s="521"/>
      <c r="E335" s="521"/>
      <c r="F335" s="522"/>
      <c r="G335" s="366" t="str">
        <f>+'11'!Q104</f>
        <v>0830200019</v>
      </c>
      <c r="H335" s="363" t="str">
        <f>+'11'!R104</f>
        <v>244</v>
      </c>
      <c r="I335" s="417">
        <f>+'11'!O104</f>
        <v>8</v>
      </c>
      <c r="J335" s="417">
        <f>+'11'!P104</f>
        <v>4</v>
      </c>
      <c r="K335" s="523"/>
      <c r="L335" s="524"/>
      <c r="M335" s="361"/>
      <c r="N335" s="362"/>
      <c r="O335" s="365">
        <f>+'11'!U104</f>
        <v>121.88</v>
      </c>
      <c r="P335" s="434">
        <f>+'11'!AG104</f>
        <v>10</v>
      </c>
      <c r="Q335" s="436">
        <f t="shared" si="5"/>
        <v>8.2047915982934043</v>
      </c>
    </row>
    <row r="336" spans="2:17" s="419" customFormat="1" ht="36" customHeight="1" thickBot="1" x14ac:dyDescent="0.25">
      <c r="B336" s="525" t="str">
        <f>+'11'!B433:M433</f>
        <v xml:space="preserve">Программа "Создание благоприятных условий для ведения бизнеса" </v>
      </c>
      <c r="C336" s="525"/>
      <c r="D336" s="525"/>
      <c r="E336" s="525"/>
      <c r="F336" s="526"/>
      <c r="G336" s="420" t="str">
        <f>+'11'!Q433</f>
        <v>0900000000</v>
      </c>
      <c r="H336" s="421">
        <f>+'11'!R433</f>
        <v>0</v>
      </c>
      <c r="I336" s="425">
        <f>+'11'!O433</f>
        <v>1</v>
      </c>
      <c r="J336" s="425">
        <f>+'11'!P433</f>
        <v>13</v>
      </c>
      <c r="K336" s="527"/>
      <c r="L336" s="528"/>
      <c r="M336" s="422"/>
      <c r="N336" s="423"/>
      <c r="O336" s="424">
        <f>+'11'!U433</f>
        <v>100</v>
      </c>
      <c r="P336" s="437">
        <f>+'11'!AG433</f>
        <v>93.5</v>
      </c>
      <c r="Q336" s="435">
        <f t="shared" si="5"/>
        <v>93.5</v>
      </c>
    </row>
    <row r="337" spans="2:17" ht="13.5" thickBot="1" x14ac:dyDescent="0.25">
      <c r="B337" s="521" t="str">
        <f>+'11'!B434:M434</f>
        <v>Реализация мероприятий направленных на создание условий для развития предпринимательства</v>
      </c>
      <c r="C337" s="521"/>
      <c r="D337" s="521"/>
      <c r="E337" s="521"/>
      <c r="F337" s="522"/>
      <c r="G337" s="366" t="str">
        <f>+'11'!Q434</f>
        <v>0910000000</v>
      </c>
      <c r="H337" s="363">
        <f>+'11'!R434</f>
        <v>0</v>
      </c>
      <c r="I337" s="417">
        <f>+'11'!O434</f>
        <v>1</v>
      </c>
      <c r="J337" s="417">
        <f>+'11'!P434</f>
        <v>13</v>
      </c>
      <c r="K337" s="523"/>
      <c r="L337" s="524"/>
      <c r="M337" s="361"/>
      <c r="N337" s="362"/>
      <c r="O337" s="365">
        <f>+'11'!U434</f>
        <v>100</v>
      </c>
      <c r="P337" s="438">
        <f>+'11'!AG434</f>
        <v>93.5</v>
      </c>
      <c r="Q337" s="436">
        <f t="shared" si="5"/>
        <v>93.5</v>
      </c>
    </row>
    <row r="338" spans="2:17" ht="13.5" thickBot="1" x14ac:dyDescent="0.25">
      <c r="B338" s="521" t="str">
        <f>+'11'!B435:M435</f>
        <v>Реализация мероприятий направленных на создание условий для развития предпринимательства</v>
      </c>
      <c r="C338" s="521"/>
      <c r="D338" s="521"/>
      <c r="E338" s="521"/>
      <c r="F338" s="522"/>
      <c r="G338" s="366" t="str">
        <f>+'11'!Q435</f>
        <v>0910104014</v>
      </c>
      <c r="H338" s="363">
        <f>+'11'!R435</f>
        <v>0</v>
      </c>
      <c r="I338" s="417">
        <f>+'11'!O435</f>
        <v>1</v>
      </c>
      <c r="J338" s="417">
        <f>+'11'!P435</f>
        <v>13</v>
      </c>
      <c r="K338" s="523"/>
      <c r="L338" s="524"/>
      <c r="M338" s="361"/>
      <c r="N338" s="362"/>
      <c r="O338" s="365">
        <f>+'11'!U435</f>
        <v>100</v>
      </c>
      <c r="P338" s="438">
        <f>+'11'!AG435</f>
        <v>93.5</v>
      </c>
      <c r="Q338" s="436">
        <f t="shared" si="5"/>
        <v>93.5</v>
      </c>
    </row>
    <row r="339" spans="2:17" ht="13.5" thickBot="1" x14ac:dyDescent="0.25">
      <c r="B339" s="521" t="str">
        <f>+'11'!B436:M436</f>
        <v>Закупка товаров, работ и услуг для обеспечения государственных (муниципальных) нужд</v>
      </c>
      <c r="C339" s="521"/>
      <c r="D339" s="521"/>
      <c r="E339" s="521"/>
      <c r="F339" s="522"/>
      <c r="G339" s="366" t="str">
        <f>+'11'!Q436</f>
        <v>0910104014</v>
      </c>
      <c r="H339" s="363" t="str">
        <f>+'11'!R436</f>
        <v>200</v>
      </c>
      <c r="I339" s="417">
        <f>+'11'!O436</f>
        <v>1</v>
      </c>
      <c r="J339" s="417">
        <f>+'11'!P436</f>
        <v>13</v>
      </c>
      <c r="K339" s="523"/>
      <c r="L339" s="524"/>
      <c r="M339" s="361"/>
      <c r="N339" s="362"/>
      <c r="O339" s="365">
        <f>+'11'!U436</f>
        <v>100</v>
      </c>
      <c r="P339" s="438">
        <f>+'11'!AG436</f>
        <v>93.5</v>
      </c>
      <c r="Q339" s="436">
        <f t="shared" si="5"/>
        <v>93.5</v>
      </c>
    </row>
    <row r="340" spans="2:17" ht="13.5" thickBot="1" x14ac:dyDescent="0.25">
      <c r="B340" s="521" t="str">
        <f>+'11'!B437:M437</f>
        <v>Иные закупки товаров, работ и услуг для обеспечения государственных (муниципальных) нужд</v>
      </c>
      <c r="C340" s="521"/>
      <c r="D340" s="521"/>
      <c r="E340" s="521"/>
      <c r="F340" s="522"/>
      <c r="G340" s="366" t="str">
        <f>+'11'!Q437</f>
        <v>0910104014</v>
      </c>
      <c r="H340" s="363" t="str">
        <f>+'11'!R437</f>
        <v>240</v>
      </c>
      <c r="I340" s="417">
        <f>+'11'!O437</f>
        <v>1</v>
      </c>
      <c r="J340" s="417">
        <f>+'11'!P437</f>
        <v>13</v>
      </c>
      <c r="K340" s="523"/>
      <c r="L340" s="524"/>
      <c r="M340" s="361"/>
      <c r="N340" s="362"/>
      <c r="O340" s="365">
        <f>+'11'!U437</f>
        <v>100</v>
      </c>
      <c r="P340" s="438">
        <f>+'11'!AG437</f>
        <v>93.5</v>
      </c>
      <c r="Q340" s="436">
        <f t="shared" si="5"/>
        <v>93.5</v>
      </c>
    </row>
    <row r="341" spans="2:17" ht="13.5" thickBot="1" x14ac:dyDescent="0.25">
      <c r="B341" s="521" t="str">
        <f>+'11'!B438:M438</f>
        <v>Прочая закупка товаров, работ и услуг</v>
      </c>
      <c r="C341" s="521"/>
      <c r="D341" s="521"/>
      <c r="E341" s="521"/>
      <c r="F341" s="522"/>
      <c r="G341" s="366" t="str">
        <f>+'11'!Q438</f>
        <v>0910104014</v>
      </c>
      <c r="H341" s="363" t="str">
        <f>+'11'!R438</f>
        <v>244</v>
      </c>
      <c r="I341" s="417">
        <f>+'11'!O438</f>
        <v>1</v>
      </c>
      <c r="J341" s="417">
        <f>+'11'!P438</f>
        <v>13</v>
      </c>
      <c r="K341" s="523"/>
      <c r="L341" s="524"/>
      <c r="M341" s="361"/>
      <c r="N341" s="362"/>
      <c r="O341" s="365">
        <f>+'11'!U438</f>
        <v>100</v>
      </c>
      <c r="P341" s="438">
        <f>+'11'!AG438</f>
        <v>93.5</v>
      </c>
      <c r="Q341" s="436">
        <f t="shared" si="5"/>
        <v>93.5</v>
      </c>
    </row>
    <row r="342" spans="2:17" s="419" customFormat="1" ht="54" customHeight="1" thickBot="1" x14ac:dyDescent="0.25">
      <c r="B342" s="525" t="str">
        <f>+'11'!B507:M507</f>
        <v>Программа "Развитие земельно-имущественных отношений и градостроительства на территории Овюрского кожууна Республики Тыва на 2016 - 2018 годы"</v>
      </c>
      <c r="C342" s="525"/>
      <c r="D342" s="525"/>
      <c r="E342" s="525"/>
      <c r="F342" s="526"/>
      <c r="G342" s="420" t="str">
        <f>+'11'!Q507</f>
        <v>1000000000</v>
      </c>
      <c r="H342" s="421">
        <f>+'11'!R507</f>
        <v>0</v>
      </c>
      <c r="I342" s="425">
        <f>+'11'!O507</f>
        <v>4</v>
      </c>
      <c r="J342" s="425">
        <f>+'11'!P507</f>
        <v>12</v>
      </c>
      <c r="K342" s="527"/>
      <c r="L342" s="528"/>
      <c r="M342" s="422"/>
      <c r="N342" s="423"/>
      <c r="O342" s="424">
        <f>+O343+O348</f>
        <v>2675.1</v>
      </c>
      <c r="P342" s="433">
        <f>+P343+P348</f>
        <v>248</v>
      </c>
      <c r="Q342" s="435">
        <f t="shared" si="5"/>
        <v>9.2706814698515956</v>
      </c>
    </row>
    <row r="343" spans="2:17" ht="13.5" thickBot="1" x14ac:dyDescent="0.25">
      <c r="B343" s="521" t="str">
        <f>+'11'!B508:M508</f>
        <v>Подпрограмма "Развитие землеустройства и градостроительства</v>
      </c>
      <c r="C343" s="521"/>
      <c r="D343" s="521"/>
      <c r="E343" s="521"/>
      <c r="F343" s="522"/>
      <c r="G343" s="366" t="str">
        <f>+'11'!Q508</f>
        <v>1010000000</v>
      </c>
      <c r="H343" s="363">
        <f>+'11'!R508</f>
        <v>0</v>
      </c>
      <c r="I343" s="417">
        <f>+'11'!O508</f>
        <v>4</v>
      </c>
      <c r="J343" s="417">
        <f>+'11'!P508</f>
        <v>12</v>
      </c>
      <c r="K343" s="523"/>
      <c r="L343" s="524"/>
      <c r="M343" s="361"/>
      <c r="N343" s="362"/>
      <c r="O343" s="365">
        <f>+'11'!U508</f>
        <v>350</v>
      </c>
      <c r="P343" s="438">
        <f>+'11'!AG508</f>
        <v>248</v>
      </c>
      <c r="Q343" s="436">
        <f t="shared" si="5"/>
        <v>70.857142857142847</v>
      </c>
    </row>
    <row r="344" spans="2:17" ht="13.5" thickBot="1" x14ac:dyDescent="0.25">
      <c r="B344" s="521" t="str">
        <f>+'11'!B509:M509</f>
        <v>Мероприятия по подготовке документов территориального планирования</v>
      </c>
      <c r="C344" s="521"/>
      <c r="D344" s="521"/>
      <c r="E344" s="521"/>
      <c r="F344" s="522"/>
      <c r="G344" s="366" t="str">
        <f>+'11'!Q509</f>
        <v>1010175030</v>
      </c>
      <c r="H344" s="363">
        <f>+'11'!R509</f>
        <v>0</v>
      </c>
      <c r="I344" s="417">
        <f>+'11'!O509</f>
        <v>4</v>
      </c>
      <c r="J344" s="417">
        <f>+'11'!P509</f>
        <v>12</v>
      </c>
      <c r="K344" s="523"/>
      <c r="L344" s="524"/>
      <c r="M344" s="361"/>
      <c r="N344" s="362"/>
      <c r="O344" s="365">
        <f>+'11'!U509</f>
        <v>350</v>
      </c>
      <c r="P344" s="438">
        <f>+'11'!AG509</f>
        <v>248</v>
      </c>
      <c r="Q344" s="436">
        <f t="shared" si="5"/>
        <v>70.857142857142847</v>
      </c>
    </row>
    <row r="345" spans="2:17" ht="13.5" thickBot="1" x14ac:dyDescent="0.25">
      <c r="B345" s="521" t="str">
        <f>+'11'!B510:M510</f>
        <v>Закупка товаров, работ и услуг для обеспечения государственных (муниципальных) нужд</v>
      </c>
      <c r="C345" s="521"/>
      <c r="D345" s="521"/>
      <c r="E345" s="521"/>
      <c r="F345" s="522"/>
      <c r="G345" s="366" t="str">
        <f>+'11'!Q510</f>
        <v>1010175030</v>
      </c>
      <c r="H345" s="363" t="str">
        <f>+'11'!R510</f>
        <v>200</v>
      </c>
      <c r="I345" s="417">
        <f>+'11'!O510</f>
        <v>4</v>
      </c>
      <c r="J345" s="417">
        <f>+'11'!P510</f>
        <v>12</v>
      </c>
      <c r="K345" s="523"/>
      <c r="L345" s="524"/>
      <c r="M345" s="361"/>
      <c r="N345" s="362"/>
      <c r="O345" s="365">
        <f>+'11'!U510</f>
        <v>350</v>
      </c>
      <c r="P345" s="438">
        <f>+'11'!AG510</f>
        <v>248</v>
      </c>
      <c r="Q345" s="436">
        <f t="shared" si="5"/>
        <v>70.857142857142847</v>
      </c>
    </row>
    <row r="346" spans="2:17" ht="13.5" thickBot="1" x14ac:dyDescent="0.25">
      <c r="B346" s="521" t="str">
        <f>+'11'!B511:M511</f>
        <v>Иные закупки товаров, работ и услуг для обеспечения государственных (муниципальных) нужд</v>
      </c>
      <c r="C346" s="521"/>
      <c r="D346" s="521"/>
      <c r="E346" s="521"/>
      <c r="F346" s="522"/>
      <c r="G346" s="366" t="str">
        <f>+'11'!Q511</f>
        <v>1010175030</v>
      </c>
      <c r="H346" s="363" t="str">
        <f>+'11'!R511</f>
        <v>240</v>
      </c>
      <c r="I346" s="417">
        <f>+'11'!O511</f>
        <v>4</v>
      </c>
      <c r="J346" s="417">
        <f>+'11'!P511</f>
        <v>12</v>
      </c>
      <c r="K346" s="523"/>
      <c r="L346" s="524"/>
      <c r="M346" s="361"/>
      <c r="N346" s="362"/>
      <c r="O346" s="365">
        <f>+'11'!U511</f>
        <v>350</v>
      </c>
      <c r="P346" s="438">
        <f>+'11'!AG511</f>
        <v>248</v>
      </c>
      <c r="Q346" s="436">
        <f t="shared" si="5"/>
        <v>70.857142857142847</v>
      </c>
    </row>
    <row r="347" spans="2:17" ht="13.5" thickBot="1" x14ac:dyDescent="0.25">
      <c r="B347" s="521" t="str">
        <f>+'11'!B512:M512</f>
        <v>Прочая закупка товаров, работ и услуг</v>
      </c>
      <c r="C347" s="521"/>
      <c r="D347" s="521"/>
      <c r="E347" s="521"/>
      <c r="F347" s="522"/>
      <c r="G347" s="366" t="str">
        <f>+'11'!Q512</f>
        <v>1010175030</v>
      </c>
      <c r="H347" s="363" t="str">
        <f>+'11'!R512</f>
        <v>244</v>
      </c>
      <c r="I347" s="417">
        <f>+'11'!O512</f>
        <v>4</v>
      </c>
      <c r="J347" s="417">
        <f>+'11'!P512</f>
        <v>12</v>
      </c>
      <c r="K347" s="523"/>
      <c r="L347" s="524"/>
      <c r="M347" s="361"/>
      <c r="N347" s="362"/>
      <c r="O347" s="365">
        <f>+'11'!U512</f>
        <v>350</v>
      </c>
      <c r="P347" s="438">
        <f>+'11'!AG512</f>
        <v>248</v>
      </c>
      <c r="Q347" s="436">
        <f t="shared" ref="Q347:Q395" si="6">P347/O347*100</f>
        <v>70.857142857142847</v>
      </c>
    </row>
    <row r="348" spans="2:17" ht="13.5" thickBot="1" x14ac:dyDescent="0.25">
      <c r="B348" s="521" t="str">
        <f>+'11'!B513:M513</f>
        <v>Программа "Развитие земельно-имущественных отношений и градостроительства на территории Овюрского кожууна Республики Тыва на 2016 - 2018 годы"</v>
      </c>
      <c r="C348" s="521"/>
      <c r="D348" s="521"/>
      <c r="E348" s="521"/>
      <c r="F348" s="522"/>
      <c r="G348" s="366" t="str">
        <f>+'11'!Q513</f>
        <v>1000000000</v>
      </c>
      <c r="H348" s="363">
        <f>+'11'!R513</f>
        <v>0</v>
      </c>
      <c r="I348" s="417">
        <f>+'11'!O513</f>
        <v>4</v>
      </c>
      <c r="J348" s="417">
        <f>+'11'!P513</f>
        <v>12</v>
      </c>
      <c r="K348" s="523"/>
      <c r="L348" s="524"/>
      <c r="M348" s="361"/>
      <c r="N348" s="362"/>
      <c r="O348" s="365">
        <f>+'11'!U513</f>
        <v>2325.1</v>
      </c>
      <c r="P348" s="438">
        <f>+'11'!AG513</f>
        <v>0</v>
      </c>
      <c r="Q348" s="436">
        <f t="shared" si="6"/>
        <v>0</v>
      </c>
    </row>
    <row r="349" spans="2:17" ht="13.5" thickBot="1" x14ac:dyDescent="0.25">
      <c r="B349" s="521" t="str">
        <f>+'11'!B514:M514</f>
        <v>Подпрограмма "Развитие землеустройства и градостроительства</v>
      </c>
      <c r="C349" s="521"/>
      <c r="D349" s="521"/>
      <c r="E349" s="521"/>
      <c r="F349" s="522"/>
      <c r="G349" s="366" t="str">
        <f>+'11'!Q514</f>
        <v>1010000000</v>
      </c>
      <c r="H349" s="363">
        <f>+'11'!R514</f>
        <v>0</v>
      </c>
      <c r="I349" s="417">
        <f>+'11'!O514</f>
        <v>4</v>
      </c>
      <c r="J349" s="417">
        <f>+'11'!P514</f>
        <v>12</v>
      </c>
      <c r="K349" s="523"/>
      <c r="L349" s="524"/>
      <c r="M349" s="361"/>
      <c r="N349" s="362"/>
      <c r="O349" s="365">
        <f>+'11'!U514</f>
        <v>2325.1</v>
      </c>
      <c r="P349" s="438">
        <f>+'11'!AG514</f>
        <v>0</v>
      </c>
      <c r="Q349" s="436">
        <f t="shared" si="6"/>
        <v>0</v>
      </c>
    </row>
    <row r="350" spans="2:17" ht="13.5" thickBot="1" x14ac:dyDescent="0.25">
      <c r="B350" s="521" t="str">
        <f>+'11'!B515:M515</f>
        <v>Проведение комплексных кадастровых работ</v>
      </c>
      <c r="C350" s="521"/>
      <c r="D350" s="521"/>
      <c r="E350" s="521"/>
      <c r="F350" s="522"/>
      <c r="G350" s="366" t="str">
        <f>+'11'!Q515</f>
        <v>10101L5110</v>
      </c>
      <c r="H350" s="363">
        <f>+'11'!R515</f>
        <v>0</v>
      </c>
      <c r="I350" s="417">
        <f>+'11'!O515</f>
        <v>4</v>
      </c>
      <c r="J350" s="417">
        <f>+'11'!P515</f>
        <v>12</v>
      </c>
      <c r="K350" s="523"/>
      <c r="L350" s="524"/>
      <c r="M350" s="361"/>
      <c r="N350" s="362"/>
      <c r="O350" s="365">
        <f>+'11'!U515</f>
        <v>2325.1</v>
      </c>
      <c r="P350" s="438">
        <f>+'11'!AG515</f>
        <v>0</v>
      </c>
      <c r="Q350" s="436">
        <f t="shared" si="6"/>
        <v>0</v>
      </c>
    </row>
    <row r="351" spans="2:17" ht="13.5" thickBot="1" x14ac:dyDescent="0.25">
      <c r="B351" s="521" t="str">
        <f>+'11'!B516:M516</f>
        <v>Закупка товаров, работ и услуг для обеспечения государственных (муниципальных) нужд</v>
      </c>
      <c r="C351" s="521"/>
      <c r="D351" s="521"/>
      <c r="E351" s="521"/>
      <c r="F351" s="522"/>
      <c r="G351" s="366" t="str">
        <f>+'11'!Q516</f>
        <v>10101L5110</v>
      </c>
      <c r="H351" s="363" t="str">
        <f>+'11'!R516</f>
        <v>200</v>
      </c>
      <c r="I351" s="417">
        <f>+'11'!O516</f>
        <v>4</v>
      </c>
      <c r="J351" s="417">
        <f>+'11'!P516</f>
        <v>12</v>
      </c>
      <c r="K351" s="523"/>
      <c r="L351" s="524"/>
      <c r="M351" s="361"/>
      <c r="N351" s="362"/>
      <c r="O351" s="365">
        <f>+'11'!U516</f>
        <v>2325.1</v>
      </c>
      <c r="P351" s="438">
        <f>+'11'!AG516</f>
        <v>0</v>
      </c>
      <c r="Q351" s="436">
        <f t="shared" si="6"/>
        <v>0</v>
      </c>
    </row>
    <row r="352" spans="2:17" ht="13.5" thickBot="1" x14ac:dyDescent="0.25">
      <c r="B352" s="521" t="str">
        <f>+'11'!B517:M517</f>
        <v>Иные закупки товаров, работ и услуг для обеспечения государственных (муниципальных) нужд</v>
      </c>
      <c r="C352" s="521"/>
      <c r="D352" s="521"/>
      <c r="E352" s="521"/>
      <c r="F352" s="522"/>
      <c r="G352" s="366" t="str">
        <f>+'11'!Q517</f>
        <v>10101L5110</v>
      </c>
      <c r="H352" s="363" t="str">
        <f>+'11'!R517</f>
        <v>240</v>
      </c>
      <c r="I352" s="417">
        <f>+'11'!O517</f>
        <v>4</v>
      </c>
      <c r="J352" s="417">
        <f>+'11'!P517</f>
        <v>12</v>
      </c>
      <c r="K352" s="523"/>
      <c r="L352" s="524"/>
      <c r="M352" s="361"/>
      <c r="N352" s="362"/>
      <c r="O352" s="365">
        <f>+'11'!U517</f>
        <v>2325.1</v>
      </c>
      <c r="P352" s="438">
        <f>+'11'!AG517</f>
        <v>0</v>
      </c>
      <c r="Q352" s="436">
        <f t="shared" si="6"/>
        <v>0</v>
      </c>
    </row>
    <row r="353" spans="2:17" ht="13.5" thickBot="1" x14ac:dyDescent="0.25">
      <c r="B353" s="521" t="str">
        <f>+'11'!B518:M518</f>
        <v>Прочая закупка товаров, работ и услуг</v>
      </c>
      <c r="C353" s="521"/>
      <c r="D353" s="521"/>
      <c r="E353" s="521"/>
      <c r="F353" s="522"/>
      <c r="G353" s="366" t="str">
        <f>+'11'!Q518</f>
        <v>10101L5110</v>
      </c>
      <c r="H353" s="363" t="str">
        <f>+'11'!R518</f>
        <v>244</v>
      </c>
      <c r="I353" s="417">
        <f>+'11'!O518</f>
        <v>4</v>
      </c>
      <c r="J353" s="417">
        <f>+'11'!P518</f>
        <v>12</v>
      </c>
      <c r="K353" s="523"/>
      <c r="L353" s="524"/>
      <c r="M353" s="361"/>
      <c r="N353" s="362"/>
      <c r="O353" s="365">
        <f>+'11'!U518</f>
        <v>2325.1</v>
      </c>
      <c r="P353" s="438">
        <f>+'11'!AG518</f>
        <v>0</v>
      </c>
      <c r="Q353" s="436">
        <f t="shared" si="6"/>
        <v>0</v>
      </c>
    </row>
    <row r="354" spans="2:17" s="419" customFormat="1" ht="36.75" customHeight="1" thickBot="1" x14ac:dyDescent="0.25">
      <c r="B354" s="525" t="str">
        <f>+'11'!B390:M390</f>
        <v>Программа "Развитие муниципальной службы муниципального района "Овюрский кожуун"Республики Тыва на 2018-2020 гг"</v>
      </c>
      <c r="C354" s="525"/>
      <c r="D354" s="525"/>
      <c r="E354" s="525"/>
      <c r="F354" s="526"/>
      <c r="G354" s="420" t="str">
        <f>+'11'!Q390</f>
        <v>1100000000</v>
      </c>
      <c r="H354" s="421">
        <f>+'11'!R390</f>
        <v>0</v>
      </c>
      <c r="I354" s="425">
        <f>+'11'!O390</f>
        <v>1</v>
      </c>
      <c r="J354" s="425">
        <f>+'11'!P390</f>
        <v>4</v>
      </c>
      <c r="K354" s="527"/>
      <c r="L354" s="528"/>
      <c r="M354" s="422"/>
      <c r="N354" s="423"/>
      <c r="O354" s="424">
        <f>+'11'!U390</f>
        <v>55</v>
      </c>
      <c r="P354" s="437">
        <f>+'11'!AG390</f>
        <v>0</v>
      </c>
      <c r="Q354" s="435">
        <f t="shared" si="6"/>
        <v>0</v>
      </c>
    </row>
    <row r="355" spans="2:17" ht="13.5" thickBot="1" x14ac:dyDescent="0.25">
      <c r="B355" s="521" t="str">
        <f>+'11'!B391:M391</f>
        <v>Иные закупки товаров, работ и услуг для государственных (муниципальных) нужд</v>
      </c>
      <c r="C355" s="521"/>
      <c r="D355" s="521"/>
      <c r="E355" s="521"/>
      <c r="F355" s="522"/>
      <c r="G355" s="366" t="str">
        <f>+'11'!Q391</f>
        <v>1100200020</v>
      </c>
      <c r="H355" s="363">
        <f>+'11'!R391</f>
        <v>0</v>
      </c>
      <c r="I355" s="417">
        <f>+'11'!O391</f>
        <v>1</v>
      </c>
      <c r="J355" s="417">
        <f>+'11'!P391</f>
        <v>4</v>
      </c>
      <c r="K355" s="523"/>
      <c r="L355" s="524"/>
      <c r="M355" s="361"/>
      <c r="N355" s="362"/>
      <c r="O355" s="365">
        <f>+'11'!U391</f>
        <v>55</v>
      </c>
      <c r="P355" s="438">
        <f>+'11'!AG391</f>
        <v>0</v>
      </c>
      <c r="Q355" s="436">
        <f t="shared" si="6"/>
        <v>0</v>
      </c>
    </row>
    <row r="356" spans="2:17" ht="13.5" thickBot="1" x14ac:dyDescent="0.25">
      <c r="B356" s="521" t="str">
        <f>+'11'!B392:M392</f>
        <v>Закупка товаров, работ и услуг для обеспечения государственных (муниципальных) нужд</v>
      </c>
      <c r="C356" s="521"/>
      <c r="D356" s="521"/>
      <c r="E356" s="521"/>
      <c r="F356" s="522"/>
      <c r="G356" s="366" t="str">
        <f>+'11'!Q392</f>
        <v>1100200020</v>
      </c>
      <c r="H356" s="363" t="str">
        <f>+'11'!R392</f>
        <v>200</v>
      </c>
      <c r="I356" s="417">
        <f>+'11'!O392</f>
        <v>1</v>
      </c>
      <c r="J356" s="417">
        <f>+'11'!P392</f>
        <v>4</v>
      </c>
      <c r="K356" s="523"/>
      <c r="L356" s="524"/>
      <c r="M356" s="361"/>
      <c r="N356" s="362"/>
      <c r="O356" s="365">
        <f>+'11'!U392</f>
        <v>55</v>
      </c>
      <c r="P356" s="438">
        <f>+'11'!AG392</f>
        <v>0</v>
      </c>
      <c r="Q356" s="436">
        <f t="shared" si="6"/>
        <v>0</v>
      </c>
    </row>
    <row r="357" spans="2:17" ht="13.5" thickBot="1" x14ac:dyDescent="0.25">
      <c r="B357" s="521" t="str">
        <f>+'11'!B393:M393</f>
        <v>Иные закупки товаров, работ и услуг для обеспечения государственных (муниципальных) нужд</v>
      </c>
      <c r="C357" s="521"/>
      <c r="D357" s="521"/>
      <c r="E357" s="521"/>
      <c r="F357" s="522"/>
      <c r="G357" s="366" t="str">
        <f>+'11'!Q393</f>
        <v>1100200020</v>
      </c>
      <c r="H357" s="363" t="str">
        <f>+'11'!R393</f>
        <v>240</v>
      </c>
      <c r="I357" s="417">
        <f>+'11'!O393</f>
        <v>1</v>
      </c>
      <c r="J357" s="417">
        <f>+'11'!P393</f>
        <v>4</v>
      </c>
      <c r="K357" s="523"/>
      <c r="L357" s="524"/>
      <c r="M357" s="361"/>
      <c r="N357" s="362"/>
      <c r="O357" s="365">
        <f>+'11'!U393</f>
        <v>55</v>
      </c>
      <c r="P357" s="438">
        <f>+'11'!AG393</f>
        <v>0</v>
      </c>
      <c r="Q357" s="436">
        <f t="shared" si="6"/>
        <v>0</v>
      </c>
    </row>
    <row r="358" spans="2:17" ht="13.5" thickBot="1" x14ac:dyDescent="0.25">
      <c r="B358" s="521" t="str">
        <f>+'11'!B394:M394</f>
        <v>Прочая закупка товаров, работ и услуг</v>
      </c>
      <c r="C358" s="521"/>
      <c r="D358" s="521"/>
      <c r="E358" s="521"/>
      <c r="F358" s="522"/>
      <c r="G358" s="366" t="str">
        <f>+'11'!Q394</f>
        <v>1100200020</v>
      </c>
      <c r="H358" s="363" t="str">
        <f>+'11'!R394</f>
        <v>244</v>
      </c>
      <c r="I358" s="417">
        <f>+'11'!O394</f>
        <v>1</v>
      </c>
      <c r="J358" s="417">
        <f>+'11'!P394</f>
        <v>4</v>
      </c>
      <c r="K358" s="523"/>
      <c r="L358" s="524"/>
      <c r="M358" s="361"/>
      <c r="N358" s="362"/>
      <c r="O358" s="365">
        <f>+'11'!U394</f>
        <v>55</v>
      </c>
      <c r="P358" s="438">
        <f>+'11'!AG394</f>
        <v>0</v>
      </c>
      <c r="Q358" s="436">
        <f t="shared" si="6"/>
        <v>0</v>
      </c>
    </row>
    <row r="359" spans="2:17" s="419" customFormat="1" ht="66.75" customHeight="1" thickBot="1" x14ac:dyDescent="0.25">
      <c r="B359" s="525" t="str">
        <f>+'11'!B439:M439</f>
        <v>Муниципальная программа "Профилактика терроризма и экстремизма, улучшение общественной безопасности последствий проявления терроризма на территории муниципального района "Овюрский кожуун" РТ на 2020-2022 годы"</v>
      </c>
      <c r="C359" s="525"/>
      <c r="D359" s="525"/>
      <c r="E359" s="525"/>
      <c r="F359" s="526"/>
      <c r="G359" s="420" t="str">
        <f>+'11'!Q439</f>
        <v>1200000000</v>
      </c>
      <c r="H359" s="421">
        <f>+'11'!R439</f>
        <v>0</v>
      </c>
      <c r="I359" s="425">
        <f>+'11'!O439</f>
        <v>1</v>
      </c>
      <c r="J359" s="425">
        <f>+'11'!P439</f>
        <v>13</v>
      </c>
      <c r="K359" s="527"/>
      <c r="L359" s="528"/>
      <c r="M359" s="422"/>
      <c r="N359" s="423"/>
      <c r="O359" s="424">
        <f>+'11'!U439</f>
        <v>50</v>
      </c>
      <c r="P359" s="437">
        <f>+'11'!AG439</f>
        <v>0</v>
      </c>
      <c r="Q359" s="435">
        <f t="shared" si="6"/>
        <v>0</v>
      </c>
    </row>
    <row r="360" spans="2:17" ht="13.5" thickBot="1" x14ac:dyDescent="0.25">
      <c r="B360" s="521" t="str">
        <f>+'11'!B440:M440</f>
        <v>Закупка товаров, работ и услуг для обеспечения государственных (муниципальных) нужд</v>
      </c>
      <c r="C360" s="521"/>
      <c r="D360" s="521"/>
      <c r="E360" s="521"/>
      <c r="F360" s="522"/>
      <c r="G360" s="366" t="str">
        <f>+'11'!Q440</f>
        <v>1200000000</v>
      </c>
      <c r="H360" s="363" t="str">
        <f>+'11'!R440</f>
        <v>200</v>
      </c>
      <c r="I360" s="417">
        <f>+'11'!O440</f>
        <v>1</v>
      </c>
      <c r="J360" s="417">
        <f>+'11'!P440</f>
        <v>13</v>
      </c>
      <c r="K360" s="523"/>
      <c r="L360" s="524"/>
      <c r="M360" s="361"/>
      <c r="N360" s="362"/>
      <c r="O360" s="365">
        <f>+'11'!U440</f>
        <v>50</v>
      </c>
      <c r="P360" s="438">
        <f>+'11'!AG440</f>
        <v>0</v>
      </c>
      <c r="Q360" s="436">
        <f t="shared" si="6"/>
        <v>0</v>
      </c>
    </row>
    <row r="361" spans="2:17" ht="13.5" thickBot="1" x14ac:dyDescent="0.25">
      <c r="B361" s="521" t="str">
        <f>+'11'!B441:M441</f>
        <v>Иные закупки товаров, работ и услуг для обеспечения государственных (муниципальных) нужд</v>
      </c>
      <c r="C361" s="521"/>
      <c r="D361" s="521"/>
      <c r="E361" s="521"/>
      <c r="F361" s="522"/>
      <c r="G361" s="366" t="str">
        <f>+'11'!Q441</f>
        <v>1200000000</v>
      </c>
      <c r="H361" s="363" t="str">
        <f>+'11'!R441</f>
        <v>240</v>
      </c>
      <c r="I361" s="417">
        <f>+'11'!O441</f>
        <v>1</v>
      </c>
      <c r="J361" s="417">
        <f>+'11'!P441</f>
        <v>13</v>
      </c>
      <c r="K361" s="523"/>
      <c r="L361" s="524"/>
      <c r="M361" s="361"/>
      <c r="N361" s="362"/>
      <c r="O361" s="365">
        <f>+'11'!U441</f>
        <v>50</v>
      </c>
      <c r="P361" s="438">
        <f>+'11'!AG441</f>
        <v>0</v>
      </c>
      <c r="Q361" s="436">
        <f t="shared" si="6"/>
        <v>0</v>
      </c>
    </row>
    <row r="362" spans="2:17" ht="13.5" thickBot="1" x14ac:dyDescent="0.25">
      <c r="B362" s="521" t="str">
        <f>+'11'!B442:M442</f>
        <v>Прочая закупка товаров, работ и услуг</v>
      </c>
      <c r="C362" s="521"/>
      <c r="D362" s="521"/>
      <c r="E362" s="521"/>
      <c r="F362" s="522"/>
      <c r="G362" s="366" t="str">
        <f>+'11'!Q442</f>
        <v>1200000000</v>
      </c>
      <c r="H362" s="363" t="str">
        <f>+'11'!R442</f>
        <v>244</v>
      </c>
      <c r="I362" s="417">
        <f>+'11'!O442</f>
        <v>1</v>
      </c>
      <c r="J362" s="417">
        <f>+'11'!P442</f>
        <v>13</v>
      </c>
      <c r="K362" s="523"/>
      <c r="L362" s="524"/>
      <c r="M362" s="361"/>
      <c r="N362" s="362"/>
      <c r="O362" s="365">
        <f>+'11'!U442</f>
        <v>50</v>
      </c>
      <c r="P362" s="438">
        <f>+'11'!AG442</f>
        <v>0</v>
      </c>
      <c r="Q362" s="436">
        <f t="shared" si="6"/>
        <v>0</v>
      </c>
    </row>
    <row r="363" spans="2:17" s="419" customFormat="1" ht="60.75" customHeight="1" thickBot="1" x14ac:dyDescent="0.25">
      <c r="B363" s="525" t="str">
        <f>+'11'!B443:M443</f>
        <v>Муниципальная программа " Совершенствование и развитие гражданской обороны, защиты населения и территорий от чрезвычайных ситуаций природного и техногенного характера на территории муниципального района "Овюрский кожуун" РТ на 2020-2022 г"</v>
      </c>
      <c r="C363" s="525"/>
      <c r="D363" s="525"/>
      <c r="E363" s="525"/>
      <c r="F363" s="526"/>
      <c r="G363" s="420" t="str">
        <f>+'11'!Q443</f>
        <v>1400000000</v>
      </c>
      <c r="H363" s="421">
        <f>+'11'!R443</f>
        <v>0</v>
      </c>
      <c r="I363" s="425">
        <f>+'11'!O443</f>
        <v>1</v>
      </c>
      <c r="J363" s="425">
        <f>+'11'!P443</f>
        <v>13</v>
      </c>
      <c r="K363" s="527"/>
      <c r="L363" s="528"/>
      <c r="M363" s="422"/>
      <c r="N363" s="423"/>
      <c r="O363" s="424">
        <f>+'11'!U443</f>
        <v>100</v>
      </c>
      <c r="P363" s="437">
        <f>+'11'!AG443</f>
        <v>0</v>
      </c>
      <c r="Q363" s="435">
        <f t="shared" si="6"/>
        <v>0</v>
      </c>
    </row>
    <row r="364" spans="2:17" ht="13.5" thickBot="1" x14ac:dyDescent="0.25">
      <c r="B364" s="521" t="str">
        <f>+'11'!B444:M444</f>
        <v>Основное направление "Обеспечение безопасности населения и территорий муниципального района "Овюрский кожуун"РТ"</v>
      </c>
      <c r="C364" s="521"/>
      <c r="D364" s="521"/>
      <c r="E364" s="521"/>
      <c r="F364" s="522"/>
      <c r="G364" s="366" t="str">
        <f>+'11'!Q444</f>
        <v>1400004000</v>
      </c>
      <c r="H364" s="363">
        <f>+'11'!R444</f>
        <v>0</v>
      </c>
      <c r="I364" s="417">
        <f>+'11'!O444</f>
        <v>1</v>
      </c>
      <c r="J364" s="417">
        <f>+'11'!P444</f>
        <v>13</v>
      </c>
      <c r="K364" s="523"/>
      <c r="L364" s="524"/>
      <c r="M364" s="361"/>
      <c r="N364" s="362"/>
      <c r="O364" s="365">
        <f>+'11'!U444</f>
        <v>100</v>
      </c>
      <c r="P364" s="438">
        <f>+'11'!AG444</f>
        <v>0</v>
      </c>
      <c r="Q364" s="436">
        <f t="shared" si="6"/>
        <v>0</v>
      </c>
    </row>
    <row r="365" spans="2:17" ht="13.5" thickBot="1" x14ac:dyDescent="0.25">
      <c r="B365" s="521" t="str">
        <f>+'11'!B445:M445</f>
        <v>Закупка товаров, работ и услуг для обеспечения государственных (муниципальных) нужд</v>
      </c>
      <c r="C365" s="521"/>
      <c r="D365" s="521"/>
      <c r="E365" s="521"/>
      <c r="F365" s="522"/>
      <c r="G365" s="366" t="str">
        <f>+'11'!Q445</f>
        <v>1400004000</v>
      </c>
      <c r="H365" s="363" t="str">
        <f>+'11'!R445</f>
        <v>200</v>
      </c>
      <c r="I365" s="417">
        <f>+'11'!O445</f>
        <v>1</v>
      </c>
      <c r="J365" s="417">
        <f>+'11'!P445</f>
        <v>13</v>
      </c>
      <c r="K365" s="523"/>
      <c r="L365" s="524"/>
      <c r="M365" s="361"/>
      <c r="N365" s="362"/>
      <c r="O365" s="365">
        <f>+'11'!U445</f>
        <v>100</v>
      </c>
      <c r="P365" s="438">
        <f>+'11'!AG445</f>
        <v>0</v>
      </c>
      <c r="Q365" s="436">
        <f t="shared" si="6"/>
        <v>0</v>
      </c>
    </row>
    <row r="366" spans="2:17" ht="13.5" thickBot="1" x14ac:dyDescent="0.25">
      <c r="B366" s="521" t="str">
        <f>+'11'!B446:M446</f>
        <v>Иные закупки товаров, работ и услуг для обеспечения государственных (муниципальных) нужд</v>
      </c>
      <c r="C366" s="521"/>
      <c r="D366" s="521"/>
      <c r="E366" s="521"/>
      <c r="F366" s="522"/>
      <c r="G366" s="366" t="str">
        <f>+'11'!Q446</f>
        <v>1400004000</v>
      </c>
      <c r="H366" s="363" t="str">
        <f>+'11'!R446</f>
        <v>240</v>
      </c>
      <c r="I366" s="417">
        <f>+'11'!O446</f>
        <v>1</v>
      </c>
      <c r="J366" s="417">
        <f>+'11'!P446</f>
        <v>13</v>
      </c>
      <c r="K366" s="523"/>
      <c r="L366" s="524"/>
      <c r="M366" s="361"/>
      <c r="N366" s="362"/>
      <c r="O366" s="365">
        <f>+'11'!U446</f>
        <v>100</v>
      </c>
      <c r="P366" s="438">
        <f>+'11'!AG446</f>
        <v>0</v>
      </c>
      <c r="Q366" s="436">
        <f t="shared" si="6"/>
        <v>0</v>
      </c>
    </row>
    <row r="367" spans="2:17" ht="13.5" thickBot="1" x14ac:dyDescent="0.25">
      <c r="B367" s="521" t="str">
        <f>+'11'!B447:M447</f>
        <v>Прочая закупка товаров, работ и услуг</v>
      </c>
      <c r="C367" s="521"/>
      <c r="D367" s="521"/>
      <c r="E367" s="521"/>
      <c r="F367" s="522"/>
      <c r="G367" s="366" t="str">
        <f>+'11'!Q447</f>
        <v>1400004000</v>
      </c>
      <c r="H367" s="363" t="str">
        <f>+'11'!R447</f>
        <v>244</v>
      </c>
      <c r="I367" s="417">
        <f>+'11'!O447</f>
        <v>1</v>
      </c>
      <c r="J367" s="417">
        <f>+'11'!P447</f>
        <v>13</v>
      </c>
      <c r="K367" s="523"/>
      <c r="L367" s="524"/>
      <c r="M367" s="361"/>
      <c r="N367" s="362"/>
      <c r="O367" s="365">
        <f>+'11'!U447</f>
        <v>100</v>
      </c>
      <c r="P367" s="438">
        <f>+'11'!AG447</f>
        <v>0</v>
      </c>
      <c r="Q367" s="436">
        <f t="shared" si="6"/>
        <v>0</v>
      </c>
    </row>
    <row r="368" spans="2:17" ht="13.5" thickBot="1" x14ac:dyDescent="0.25">
      <c r="B368" s="521" t="s">
        <v>660</v>
      </c>
      <c r="C368" s="521"/>
      <c r="D368" s="521"/>
      <c r="E368" s="521"/>
      <c r="F368" s="522"/>
      <c r="G368" s="366"/>
      <c r="H368" s="363"/>
      <c r="I368" s="417"/>
      <c r="J368" s="417"/>
      <c r="K368" s="523"/>
      <c r="L368" s="524"/>
      <c r="M368" s="361"/>
      <c r="N368" s="362"/>
      <c r="O368" s="439">
        <f>+O369+O403+O429+O486+O502+O506+O516+O530</f>
        <v>59765.356</v>
      </c>
      <c r="P368" s="438">
        <f>+P369+P403+P429+P486+P502+P506+P516+P530</f>
        <v>14952.12218</v>
      </c>
      <c r="Q368" s="436">
        <f t="shared" si="6"/>
        <v>25.018042526175201</v>
      </c>
    </row>
    <row r="369" spans="2:19" s="419" customFormat="1" ht="46.5" customHeight="1" thickBot="1" x14ac:dyDescent="0.25">
      <c r="B369" s="525" t="str">
        <f>+'11'!B383:M383</f>
        <v>Функционирование Главы муниципального райлна, высшего должностного лица муниципального образования, его заместителей, местных администраций</v>
      </c>
      <c r="C369" s="525"/>
      <c r="D369" s="525"/>
      <c r="E369" s="525"/>
      <c r="F369" s="526"/>
      <c r="G369" s="420" t="str">
        <f>+'11'!Q383</f>
        <v>7800000000</v>
      </c>
      <c r="H369" s="421">
        <f>+'11'!R383</f>
        <v>0</v>
      </c>
      <c r="I369" s="425">
        <f>+'11'!O383</f>
        <v>1</v>
      </c>
      <c r="J369" s="425">
        <f>+'11'!P383</f>
        <v>2</v>
      </c>
      <c r="K369" s="527"/>
      <c r="L369" s="528"/>
      <c r="M369" s="422"/>
      <c r="N369" s="423"/>
      <c r="O369" s="424">
        <f>+O370+O375+O380+O385+O395+O399</f>
        <v>23309.440000000002</v>
      </c>
      <c r="P369" s="433">
        <f>+P370+P375+P380+P385+P395+P399</f>
        <v>6307.6482400000004</v>
      </c>
      <c r="Q369" s="435">
        <f t="shared" si="6"/>
        <v>27.060488111254493</v>
      </c>
      <c r="R369" s="419">
        <f>+'[1]13'!$M$162</f>
        <v>23309.439999999999</v>
      </c>
      <c r="S369" s="428">
        <f>+R369-O369</f>
        <v>0</v>
      </c>
    </row>
    <row r="370" spans="2:19" ht="13.5" thickBot="1" x14ac:dyDescent="0.25">
      <c r="B370" s="521" t="str">
        <f>+'11'!B384:M384</f>
        <v>Обеспечение функционирования Главы муниципального района</v>
      </c>
      <c r="C370" s="521"/>
      <c r="D370" s="521"/>
      <c r="E370" s="521"/>
      <c r="F370" s="522"/>
      <c r="G370" s="366" t="str">
        <f>+'11'!Q384</f>
        <v>7800000111</v>
      </c>
      <c r="H370" s="363">
        <f>+'11'!R384</f>
        <v>0</v>
      </c>
      <c r="I370" s="418">
        <f>+'11'!O384</f>
        <v>1</v>
      </c>
      <c r="J370" s="418">
        <f>+'11'!P384</f>
        <v>2</v>
      </c>
      <c r="K370" s="523"/>
      <c r="L370" s="524"/>
      <c r="M370" s="361"/>
      <c r="N370" s="362"/>
      <c r="O370" s="365">
        <f>+'11'!U384</f>
        <v>1058.002</v>
      </c>
      <c r="P370" s="434">
        <f>+'11'!AG384</f>
        <v>222.28070000000002</v>
      </c>
      <c r="Q370" s="436">
        <f t="shared" si="6"/>
        <v>21.009478242952284</v>
      </c>
    </row>
    <row r="371" spans="2:19" ht="13.5" thickBot="1" x14ac:dyDescent="0.25">
      <c r="B371" s="521" t="str">
        <f>+'11'!B385:M385</f>
        <v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v>
      </c>
      <c r="C371" s="521"/>
      <c r="D371" s="521"/>
      <c r="E371" s="521"/>
      <c r="F371" s="522"/>
      <c r="G371" s="366" t="str">
        <f>+'11'!Q385</f>
        <v>7800000111</v>
      </c>
      <c r="H371" s="363" t="str">
        <f>+'11'!R385</f>
        <v>100</v>
      </c>
      <c r="I371" s="418">
        <f>+'11'!O385</f>
        <v>1</v>
      </c>
      <c r="J371" s="418">
        <f>+'11'!P385</f>
        <v>2</v>
      </c>
      <c r="K371" s="523"/>
      <c r="L371" s="524"/>
      <c r="M371" s="361"/>
      <c r="N371" s="362"/>
      <c r="O371" s="365">
        <f>+'11'!U385</f>
        <v>1058.002</v>
      </c>
      <c r="P371" s="434">
        <f>+'11'!AG385</f>
        <v>222.28070000000002</v>
      </c>
      <c r="Q371" s="436">
        <f t="shared" si="6"/>
        <v>21.009478242952284</v>
      </c>
      <c r="R371" s="427"/>
    </row>
    <row r="372" spans="2:19" ht="13.5" thickBot="1" x14ac:dyDescent="0.25">
      <c r="B372" s="521" t="str">
        <f>+'11'!B386:M386</f>
        <v>Расходы на выплаты персоналу государственных (муниципальных) органов</v>
      </c>
      <c r="C372" s="521"/>
      <c r="D372" s="521"/>
      <c r="E372" s="521"/>
      <c r="F372" s="522"/>
      <c r="G372" s="366" t="str">
        <f>+'11'!Q386</f>
        <v>7800000111</v>
      </c>
      <c r="H372" s="363" t="str">
        <f>+'11'!R386</f>
        <v>120</v>
      </c>
      <c r="I372" s="418">
        <f>+'11'!O386</f>
        <v>1</v>
      </c>
      <c r="J372" s="418">
        <f>+'11'!P386</f>
        <v>2</v>
      </c>
      <c r="K372" s="523"/>
      <c r="L372" s="524"/>
      <c r="M372" s="361"/>
      <c r="N372" s="362"/>
      <c r="O372" s="365">
        <f>+'11'!U386</f>
        <v>1058.002</v>
      </c>
      <c r="P372" s="434">
        <f>+'11'!AG386</f>
        <v>222.28070000000002</v>
      </c>
      <c r="Q372" s="436">
        <f t="shared" si="6"/>
        <v>21.009478242952284</v>
      </c>
    </row>
    <row r="373" spans="2:19" ht="13.5" thickBot="1" x14ac:dyDescent="0.25">
      <c r="B373" s="521" t="str">
        <f>+'11'!B387:M387</f>
        <v>Фонд оплаты труда государственных (муниципальных) органов</v>
      </c>
      <c r="C373" s="521"/>
      <c r="D373" s="521"/>
      <c r="E373" s="521"/>
      <c r="F373" s="522"/>
      <c r="G373" s="366" t="str">
        <f>+'11'!Q387</f>
        <v>7800000111</v>
      </c>
      <c r="H373" s="363" t="str">
        <f>+'11'!R387</f>
        <v>121</v>
      </c>
      <c r="I373" s="418">
        <f>+'11'!O387</f>
        <v>1</v>
      </c>
      <c r="J373" s="418">
        <f>+'11'!P387</f>
        <v>2</v>
      </c>
      <c r="K373" s="523"/>
      <c r="L373" s="524"/>
      <c r="M373" s="361"/>
      <c r="N373" s="362"/>
      <c r="O373" s="365">
        <f>+'11'!U387</f>
        <v>812.59799999999996</v>
      </c>
      <c r="P373" s="434">
        <f>+'11'!AG387</f>
        <v>172.48571000000001</v>
      </c>
      <c r="Q373" s="436">
        <f t="shared" si="6"/>
        <v>21.226450225080544</v>
      </c>
    </row>
    <row r="374" spans="2:19" ht="13.5" thickBot="1" x14ac:dyDescent="0.25">
      <c r="B374" s="521" t="str">
        <f>+'11'!B388:M388</f>
        <v>Взносы по обязательному социальному страхованию на выплаты денежного содержания и иные выплаты работникам государственных (муниципальных) органов</v>
      </c>
      <c r="C374" s="521"/>
      <c r="D374" s="521"/>
      <c r="E374" s="521"/>
      <c r="F374" s="522"/>
      <c r="G374" s="366" t="str">
        <f>+'11'!Q388</f>
        <v>7800000111</v>
      </c>
      <c r="H374" s="363" t="str">
        <f>+'11'!R388</f>
        <v>129</v>
      </c>
      <c r="I374" s="418">
        <f>+'11'!O388</f>
        <v>1</v>
      </c>
      <c r="J374" s="418">
        <f>+'11'!P388</f>
        <v>2</v>
      </c>
      <c r="K374" s="523"/>
      <c r="L374" s="524"/>
      <c r="M374" s="361"/>
      <c r="N374" s="362"/>
      <c r="O374" s="365">
        <f>+'11'!U388</f>
        <v>245.404</v>
      </c>
      <c r="P374" s="434">
        <f>+'11'!AG388</f>
        <v>49.794989999999999</v>
      </c>
      <c r="Q374" s="436">
        <f t="shared" si="6"/>
        <v>20.29102622614138</v>
      </c>
    </row>
    <row r="375" spans="2:19" ht="13.5" thickBot="1" x14ac:dyDescent="0.25">
      <c r="B375" s="521" t="str">
        <f>+'11'!B396:M396</f>
        <v>Обеспечение функционирования высшего должностного лица муниципального района</v>
      </c>
      <c r="C375" s="521"/>
      <c r="D375" s="521"/>
      <c r="E375" s="521"/>
      <c r="F375" s="522"/>
      <c r="G375" s="366" t="str">
        <f>+'11'!Q396</f>
        <v>7800000112</v>
      </c>
      <c r="H375" s="363">
        <f>+'11'!R396</f>
        <v>0</v>
      </c>
      <c r="I375" s="364">
        <f>+'11'!O396</f>
        <v>1</v>
      </c>
      <c r="J375" s="418">
        <f>+'11'!P396</f>
        <v>4</v>
      </c>
      <c r="K375" s="523"/>
      <c r="L375" s="524"/>
      <c r="M375" s="361"/>
      <c r="N375" s="362"/>
      <c r="O375" s="365">
        <f>+'11'!U396</f>
        <v>12458.701999999999</v>
      </c>
      <c r="P375" s="438">
        <f>+'11'!AG396</f>
        <v>3416.7050300000001</v>
      </c>
      <c r="Q375" s="436">
        <f t="shared" si="6"/>
        <v>27.424245559449133</v>
      </c>
    </row>
    <row r="376" spans="2:19" ht="13.5" thickBot="1" x14ac:dyDescent="0.25">
      <c r="B376" s="521" t="str">
        <f>+'11'!B397:M397</f>
        <v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v>
      </c>
      <c r="C376" s="521"/>
      <c r="D376" s="521"/>
      <c r="E376" s="521"/>
      <c r="F376" s="522"/>
      <c r="G376" s="366" t="str">
        <f>+'11'!Q397</f>
        <v>7800000112</v>
      </c>
      <c r="H376" s="363" t="str">
        <f>+'11'!R397</f>
        <v>100</v>
      </c>
      <c r="I376" s="418">
        <f>+'11'!O397</f>
        <v>1</v>
      </c>
      <c r="J376" s="418">
        <f>+'11'!P397</f>
        <v>4</v>
      </c>
      <c r="K376" s="523"/>
      <c r="L376" s="524"/>
      <c r="M376" s="361"/>
      <c r="N376" s="362"/>
      <c r="O376" s="365">
        <f>+'11'!U397</f>
        <v>12458.701999999999</v>
      </c>
      <c r="P376" s="438">
        <f>+'11'!AG397</f>
        <v>3416.7050300000001</v>
      </c>
      <c r="Q376" s="436">
        <f t="shared" si="6"/>
        <v>27.424245559449133</v>
      </c>
    </row>
    <row r="377" spans="2:19" ht="13.5" thickBot="1" x14ac:dyDescent="0.25">
      <c r="B377" s="521" t="str">
        <f>+'11'!B398:M398</f>
        <v>Расходы на выплаты персоналу государственных (муниципальных) органов</v>
      </c>
      <c r="C377" s="521"/>
      <c r="D377" s="521"/>
      <c r="E377" s="521"/>
      <c r="F377" s="522"/>
      <c r="G377" s="366" t="str">
        <f>+'11'!Q398</f>
        <v>7800000112</v>
      </c>
      <c r="H377" s="363" t="str">
        <f>+'11'!R398</f>
        <v>120</v>
      </c>
      <c r="I377" s="418">
        <f>+'11'!O398</f>
        <v>1</v>
      </c>
      <c r="J377" s="418">
        <f>+'11'!P398</f>
        <v>4</v>
      </c>
      <c r="K377" s="523"/>
      <c r="L377" s="524"/>
      <c r="M377" s="361"/>
      <c r="N377" s="362"/>
      <c r="O377" s="365">
        <f>+'11'!U398</f>
        <v>12458.701999999999</v>
      </c>
      <c r="P377" s="438">
        <f>+'11'!AG398</f>
        <v>3416.7050300000001</v>
      </c>
      <c r="Q377" s="436">
        <f t="shared" si="6"/>
        <v>27.424245559449133</v>
      </c>
    </row>
    <row r="378" spans="2:19" ht="13.5" thickBot="1" x14ac:dyDescent="0.25">
      <c r="B378" s="521" t="str">
        <f>+'11'!B399:M399</f>
        <v>Фонд оплаты труда государственных (муниципальных) органов</v>
      </c>
      <c r="C378" s="521"/>
      <c r="D378" s="521"/>
      <c r="E378" s="521"/>
      <c r="F378" s="522"/>
      <c r="G378" s="366" t="str">
        <f>+'11'!Q399</f>
        <v>7800000112</v>
      </c>
      <c r="H378" s="363" t="str">
        <f>+'11'!R399</f>
        <v>121</v>
      </c>
      <c r="I378" s="418">
        <f>+'11'!O399</f>
        <v>1</v>
      </c>
      <c r="J378" s="418">
        <f>+'11'!P399</f>
        <v>4</v>
      </c>
      <c r="K378" s="523"/>
      <c r="L378" s="524"/>
      <c r="M378" s="361"/>
      <c r="N378" s="362"/>
      <c r="O378" s="365">
        <f>+'11'!U399</f>
        <v>9568.8960000000006</v>
      </c>
      <c r="P378" s="438">
        <f>+'11'!AG399</f>
        <v>2632.11742</v>
      </c>
      <c r="Q378" s="436">
        <f t="shared" si="6"/>
        <v>27.507012512206213</v>
      </c>
    </row>
    <row r="379" spans="2:19" ht="13.5" thickBot="1" x14ac:dyDescent="0.25">
      <c r="B379" s="521" t="str">
        <f>+'11'!B400:M400</f>
        <v>Взносы по обязательному социальному страхованию на выплаты денежного содержания и иные выплаты работникам государственных (муниципальных) органов</v>
      </c>
      <c r="C379" s="521"/>
      <c r="D379" s="521"/>
      <c r="E379" s="521"/>
      <c r="F379" s="522"/>
      <c r="G379" s="366" t="str">
        <f>+'11'!Q400</f>
        <v>7800000112</v>
      </c>
      <c r="H379" s="363" t="str">
        <f>+'11'!R400</f>
        <v>129</v>
      </c>
      <c r="I379" s="418">
        <f>+'11'!O400</f>
        <v>1</v>
      </c>
      <c r="J379" s="418">
        <f>+'11'!P400</f>
        <v>4</v>
      </c>
      <c r="K379" s="523"/>
      <c r="L379" s="524"/>
      <c r="M379" s="361"/>
      <c r="N379" s="362"/>
      <c r="O379" s="365">
        <f>+'11'!U400</f>
        <v>2889.806</v>
      </c>
      <c r="P379" s="438">
        <f>+'11'!AG400</f>
        <v>784.58761000000004</v>
      </c>
      <c r="Q379" s="436">
        <f t="shared" si="6"/>
        <v>27.15018274583138</v>
      </c>
    </row>
    <row r="380" spans="2:19" ht="13.5" thickBot="1" x14ac:dyDescent="0.25">
      <c r="B380" s="521" t="str">
        <f>+'11'!B449:M449</f>
        <v>Обеспечение хозяйственного обслуживания в целях функционирования органов местного самоуправления</v>
      </c>
      <c r="C380" s="521"/>
      <c r="D380" s="521"/>
      <c r="E380" s="521"/>
      <c r="F380" s="522"/>
      <c r="G380" s="366" t="str">
        <f>+'11'!Q449</f>
        <v>7800000114</v>
      </c>
      <c r="H380" s="363">
        <f>+'11'!R449</f>
        <v>0</v>
      </c>
      <c r="I380" s="418">
        <f>+'11'!O449</f>
        <v>1</v>
      </c>
      <c r="J380" s="418">
        <f>+'11'!P449</f>
        <v>13</v>
      </c>
      <c r="K380" s="523"/>
      <c r="L380" s="524"/>
      <c r="M380" s="361"/>
      <c r="N380" s="362"/>
      <c r="O380" s="365">
        <f>+'11'!U449</f>
        <v>4207.1490000000003</v>
      </c>
      <c r="P380" s="438">
        <f>+'11'!AG449</f>
        <v>1213.8925300000001</v>
      </c>
      <c r="Q380" s="436">
        <f t="shared" ref="Q380:Q384" si="7">P380/O380*100</f>
        <v>28.853091012464738</v>
      </c>
    </row>
    <row r="381" spans="2:19" ht="13.5" thickBot="1" x14ac:dyDescent="0.25">
      <c r="B381" s="521" t="str">
        <f>+'11'!B450:M450</f>
        <v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v>
      </c>
      <c r="C381" s="521"/>
      <c r="D381" s="521"/>
      <c r="E381" s="521"/>
      <c r="F381" s="522"/>
      <c r="G381" s="366" t="str">
        <f>+'11'!Q450</f>
        <v>7800000114</v>
      </c>
      <c r="H381" s="363" t="str">
        <f>+'11'!R450</f>
        <v>100</v>
      </c>
      <c r="I381" s="418">
        <f>+'11'!O450</f>
        <v>1</v>
      </c>
      <c r="J381" s="418">
        <f>+'11'!P450</f>
        <v>13</v>
      </c>
      <c r="K381" s="523"/>
      <c r="L381" s="524"/>
      <c r="M381" s="361"/>
      <c r="N381" s="362"/>
      <c r="O381" s="365">
        <f>+'11'!U450</f>
        <v>4207.1490000000003</v>
      </c>
      <c r="P381" s="438">
        <f>+'11'!AG450</f>
        <v>1213.8925300000001</v>
      </c>
      <c r="Q381" s="436">
        <f t="shared" si="7"/>
        <v>28.853091012464738</v>
      </c>
    </row>
    <row r="382" spans="2:19" ht="13.5" thickBot="1" x14ac:dyDescent="0.25">
      <c r="B382" s="521" t="str">
        <f>+'11'!B451:M451</f>
        <v>Расходы на выплаты персоналу государственных (муниципальных) органов</v>
      </c>
      <c r="C382" s="521"/>
      <c r="D382" s="521"/>
      <c r="E382" s="521"/>
      <c r="F382" s="522"/>
      <c r="G382" s="366" t="str">
        <f>+'11'!Q451</f>
        <v>7800000114</v>
      </c>
      <c r="H382" s="363" t="str">
        <f>+'11'!R451</f>
        <v>120</v>
      </c>
      <c r="I382" s="418">
        <f>+'11'!O451</f>
        <v>1</v>
      </c>
      <c r="J382" s="418">
        <f>+'11'!P451</f>
        <v>13</v>
      </c>
      <c r="K382" s="523"/>
      <c r="L382" s="524"/>
      <c r="M382" s="361"/>
      <c r="N382" s="362"/>
      <c r="O382" s="365">
        <f>+'11'!U451</f>
        <v>4207.1490000000003</v>
      </c>
      <c r="P382" s="438">
        <f>+'11'!AG451</f>
        <v>1213.8925300000001</v>
      </c>
      <c r="Q382" s="436">
        <f t="shared" si="7"/>
        <v>28.853091012464738</v>
      </c>
    </row>
    <row r="383" spans="2:19" ht="13.5" thickBot="1" x14ac:dyDescent="0.25">
      <c r="B383" s="521" t="str">
        <f>+'11'!B452:M452</f>
        <v>Фонд оплаты труда государственных (муниципальных) органов</v>
      </c>
      <c r="C383" s="521"/>
      <c r="D383" s="521"/>
      <c r="E383" s="521"/>
      <c r="F383" s="522"/>
      <c r="G383" s="366" t="str">
        <f>+'11'!Q452</f>
        <v>7800000114</v>
      </c>
      <c r="H383" s="363" t="str">
        <f>+'11'!R452</f>
        <v>121</v>
      </c>
      <c r="I383" s="418">
        <f>+'11'!O452</f>
        <v>1</v>
      </c>
      <c r="J383" s="418">
        <f>+'11'!P452</f>
        <v>13</v>
      </c>
      <c r="K383" s="523"/>
      <c r="L383" s="524"/>
      <c r="M383" s="361"/>
      <c r="N383" s="362"/>
      <c r="O383" s="365">
        <f>+'11'!U452</f>
        <v>3231.297</v>
      </c>
      <c r="P383" s="438">
        <f>+'11'!AG452</f>
        <v>932.32912999999996</v>
      </c>
      <c r="Q383" s="436">
        <f t="shared" si="7"/>
        <v>28.85309304591933</v>
      </c>
    </row>
    <row r="384" spans="2:19" ht="13.5" thickBot="1" x14ac:dyDescent="0.25">
      <c r="B384" s="521" t="str">
        <f>+'11'!B453:M453</f>
        <v>Взносы по обязательному социальному страхованию на выплаты денежного содержания и иные выплаты работникам государственных (муниципальных) органов</v>
      </c>
      <c r="C384" s="521"/>
      <c r="D384" s="521"/>
      <c r="E384" s="521"/>
      <c r="F384" s="522"/>
      <c r="G384" s="366" t="str">
        <f>+'11'!Q453</f>
        <v>7800000114</v>
      </c>
      <c r="H384" s="363" t="str">
        <f>+'11'!R453</f>
        <v>129</v>
      </c>
      <c r="I384" s="418">
        <f>+'11'!O453</f>
        <v>1</v>
      </c>
      <c r="J384" s="418">
        <f>+'11'!P453</f>
        <v>13</v>
      </c>
      <c r="K384" s="523"/>
      <c r="L384" s="524"/>
      <c r="M384" s="361"/>
      <c r="N384" s="362"/>
      <c r="O384" s="365">
        <f>+'11'!U453</f>
        <v>975.85199999999998</v>
      </c>
      <c r="P384" s="438">
        <f>+'11'!AG453</f>
        <v>281.5634</v>
      </c>
      <c r="Q384" s="436">
        <f t="shared" si="7"/>
        <v>28.85308427917348</v>
      </c>
    </row>
    <row r="385" spans="2:17" ht="13.5" thickBot="1" x14ac:dyDescent="0.25">
      <c r="B385" s="521" t="str">
        <f>+'11'!B401:M401</f>
        <v>Обеспечение функционирования местной администрации (Закупка товаров, работ и услуг для обеспечения муниципальных нужд)</v>
      </c>
      <c r="C385" s="521"/>
      <c r="D385" s="521"/>
      <c r="E385" s="521"/>
      <c r="F385" s="522"/>
      <c r="G385" s="366" t="str">
        <f>+'11'!Q401</f>
        <v>7800000194</v>
      </c>
      <c r="H385" s="363">
        <f>+'11'!R401</f>
        <v>0</v>
      </c>
      <c r="I385" s="418">
        <f>+'11'!O401</f>
        <v>1</v>
      </c>
      <c r="J385" s="418">
        <f>+'11'!P401</f>
        <v>4</v>
      </c>
      <c r="K385" s="523"/>
      <c r="L385" s="524"/>
      <c r="M385" s="361"/>
      <c r="N385" s="362"/>
      <c r="O385" s="365">
        <f>+'11'!U401</f>
        <v>5383.1869999999999</v>
      </c>
      <c r="P385" s="438">
        <f>+'11'!AG401</f>
        <v>1434.76998</v>
      </c>
      <c r="Q385" s="436">
        <f t="shared" si="6"/>
        <v>26.652798425913872</v>
      </c>
    </row>
    <row r="386" spans="2:17" ht="13.5" thickBot="1" x14ac:dyDescent="0.25">
      <c r="B386" s="521" t="str">
        <f>+'11'!B402:M402</f>
        <v>Закупка товаров, работ и услуг для обеспечения государственных (муниципальных) нужд</v>
      </c>
      <c r="C386" s="521"/>
      <c r="D386" s="521"/>
      <c r="E386" s="521"/>
      <c r="F386" s="522"/>
      <c r="G386" s="366" t="str">
        <f>+'11'!Q402</f>
        <v>7800000194</v>
      </c>
      <c r="H386" s="363" t="str">
        <f>+'11'!R402</f>
        <v>200</v>
      </c>
      <c r="I386" s="418">
        <f>+'11'!O402</f>
        <v>1</v>
      </c>
      <c r="J386" s="418">
        <f>+'11'!P402</f>
        <v>4</v>
      </c>
      <c r="K386" s="523"/>
      <c r="L386" s="524"/>
      <c r="M386" s="361"/>
      <c r="N386" s="362"/>
      <c r="O386" s="365">
        <f>+'11'!U402</f>
        <v>4926.1869999999999</v>
      </c>
      <c r="P386" s="438">
        <f>+'11'!AG402</f>
        <v>1130.1740500000001</v>
      </c>
      <c r="Q386" s="436">
        <f t="shared" si="6"/>
        <v>22.942167035071957</v>
      </c>
    </row>
    <row r="387" spans="2:17" ht="13.5" thickBot="1" x14ac:dyDescent="0.25">
      <c r="B387" s="521" t="str">
        <f>+'11'!B403:M403</f>
        <v>Иные закупки товаров, работ и услуг для обеспечения государственных (муниципальных) нужд</v>
      </c>
      <c r="C387" s="521"/>
      <c r="D387" s="521"/>
      <c r="E387" s="521"/>
      <c r="F387" s="522"/>
      <c r="G387" s="366" t="str">
        <f>+'11'!Q403</f>
        <v>7800000194</v>
      </c>
      <c r="H387" s="363" t="str">
        <f>+'11'!R403</f>
        <v>240</v>
      </c>
      <c r="I387" s="418">
        <f>+'11'!O403</f>
        <v>1</v>
      </c>
      <c r="J387" s="418">
        <f>+'11'!P403</f>
        <v>4</v>
      </c>
      <c r="K387" s="523"/>
      <c r="L387" s="524"/>
      <c r="M387" s="361"/>
      <c r="N387" s="362"/>
      <c r="O387" s="365">
        <f>+'11'!U403</f>
        <v>4926.1869999999999</v>
      </c>
      <c r="P387" s="438">
        <f>+'11'!AG403</f>
        <v>1130.1740500000001</v>
      </c>
      <c r="Q387" s="436">
        <f t="shared" si="6"/>
        <v>22.942167035071957</v>
      </c>
    </row>
    <row r="388" spans="2:17" ht="13.5" thickBot="1" x14ac:dyDescent="0.25">
      <c r="B388" s="521" t="str">
        <f>+'11'!B404:M404</f>
        <v>Закупка товаров, работ, услуг в сфере информационно-коммуникационных технологий</v>
      </c>
      <c r="C388" s="521"/>
      <c r="D388" s="521"/>
      <c r="E388" s="521"/>
      <c r="F388" s="522"/>
      <c r="G388" s="366" t="str">
        <f>+'11'!Q404</f>
        <v>7800000194</v>
      </c>
      <c r="H388" s="363" t="str">
        <f>+'11'!R404</f>
        <v>242</v>
      </c>
      <c r="I388" s="418">
        <f>+'11'!O404</f>
        <v>1</v>
      </c>
      <c r="J388" s="418">
        <f>+'11'!P404</f>
        <v>4</v>
      </c>
      <c r="K388" s="523"/>
      <c r="L388" s="524"/>
      <c r="M388" s="361"/>
      <c r="N388" s="362"/>
      <c r="O388" s="365">
        <f>+'11'!U404</f>
        <v>722.91600000000005</v>
      </c>
      <c r="P388" s="438">
        <f>+'11'!AG404</f>
        <v>88.169039999999995</v>
      </c>
      <c r="Q388" s="436">
        <f t="shared" si="6"/>
        <v>12.196304964892185</v>
      </c>
    </row>
    <row r="389" spans="2:17" ht="13.5" thickBot="1" x14ac:dyDescent="0.25">
      <c r="B389" s="521" t="str">
        <f>+'11'!B405:M405</f>
        <v>Прочая закупка товаров, работ и услуг</v>
      </c>
      <c r="C389" s="521"/>
      <c r="D389" s="521"/>
      <c r="E389" s="521"/>
      <c r="F389" s="522"/>
      <c r="G389" s="366" t="str">
        <f>+'11'!Q405</f>
        <v>7800000194</v>
      </c>
      <c r="H389" s="363" t="str">
        <f>+'11'!R405</f>
        <v>244</v>
      </c>
      <c r="I389" s="418">
        <f>+'11'!O405</f>
        <v>1</v>
      </c>
      <c r="J389" s="418">
        <f>+'11'!P405</f>
        <v>4</v>
      </c>
      <c r="K389" s="523"/>
      <c r="L389" s="524"/>
      <c r="M389" s="361"/>
      <c r="N389" s="362"/>
      <c r="O389" s="365">
        <f>+'11'!U405</f>
        <v>4203.2709999999997</v>
      </c>
      <c r="P389" s="438">
        <f>+'11'!AG405</f>
        <v>1042.0050100000001</v>
      </c>
      <c r="Q389" s="436">
        <f t="shared" si="6"/>
        <v>24.790336145349663</v>
      </c>
    </row>
    <row r="390" spans="2:17" ht="13.5" thickBot="1" x14ac:dyDescent="0.25">
      <c r="B390" s="521" t="str">
        <f>+'11'!B406:M406</f>
        <v>Иные бюджетные ассигнования</v>
      </c>
      <c r="C390" s="521"/>
      <c r="D390" s="521"/>
      <c r="E390" s="521"/>
      <c r="F390" s="522"/>
      <c r="G390" s="366" t="str">
        <f>+'11'!Q406</f>
        <v>7800000194</v>
      </c>
      <c r="H390" s="363" t="str">
        <f>+'11'!R406</f>
        <v>800</v>
      </c>
      <c r="I390" s="418">
        <f>+'11'!O406</f>
        <v>1</v>
      </c>
      <c r="J390" s="418">
        <f>+'11'!P406</f>
        <v>4</v>
      </c>
      <c r="K390" s="523"/>
      <c r="L390" s="524"/>
      <c r="M390" s="361"/>
      <c r="N390" s="362"/>
      <c r="O390" s="365">
        <f>+'11'!U406</f>
        <v>457</v>
      </c>
      <c r="P390" s="438">
        <f>+'11'!AG406</f>
        <v>304.59593000000001</v>
      </c>
      <c r="Q390" s="436">
        <f t="shared" si="6"/>
        <v>66.651188183807449</v>
      </c>
    </row>
    <row r="391" spans="2:17" ht="13.5" thickBot="1" x14ac:dyDescent="0.25">
      <c r="B391" s="521" t="str">
        <f>+'11'!B407:M407</f>
        <v>Уплата налогов, сборов и иных платежей</v>
      </c>
      <c r="C391" s="521"/>
      <c r="D391" s="521"/>
      <c r="E391" s="521"/>
      <c r="F391" s="522"/>
      <c r="G391" s="366" t="str">
        <f>+'11'!Q407</f>
        <v>7800000194</v>
      </c>
      <c r="H391" s="363" t="str">
        <f>+'11'!R407</f>
        <v>850</v>
      </c>
      <c r="I391" s="418">
        <f>+'11'!O407</f>
        <v>1</v>
      </c>
      <c r="J391" s="418">
        <f>+'11'!P407</f>
        <v>4</v>
      </c>
      <c r="K391" s="523"/>
      <c r="L391" s="524"/>
      <c r="M391" s="361"/>
      <c r="N391" s="362"/>
      <c r="O391" s="365">
        <f>+'11'!U407</f>
        <v>457</v>
      </c>
      <c r="P391" s="438">
        <f>+'11'!AG407</f>
        <v>304.59593000000001</v>
      </c>
      <c r="Q391" s="436">
        <f t="shared" si="6"/>
        <v>66.651188183807449</v>
      </c>
    </row>
    <row r="392" spans="2:17" ht="13.5" thickBot="1" x14ac:dyDescent="0.25">
      <c r="B392" s="521" t="str">
        <f>+'11'!B408:M408</f>
        <v>Уплата налога на имущество организаций и земельного налога</v>
      </c>
      <c r="C392" s="521"/>
      <c r="D392" s="521"/>
      <c r="E392" s="521"/>
      <c r="F392" s="522"/>
      <c r="G392" s="366" t="str">
        <f>+'11'!Q408</f>
        <v>7800000194</v>
      </c>
      <c r="H392" s="363" t="str">
        <f>+'11'!R408</f>
        <v>851</v>
      </c>
      <c r="I392" s="418">
        <f>+'11'!O408</f>
        <v>1</v>
      </c>
      <c r="J392" s="418">
        <f>+'11'!P408</f>
        <v>4</v>
      </c>
      <c r="K392" s="523"/>
      <c r="L392" s="524"/>
      <c r="M392" s="361"/>
      <c r="N392" s="362"/>
      <c r="O392" s="365">
        <f>+'11'!U408</f>
        <v>145</v>
      </c>
      <c r="P392" s="438">
        <f>+'11'!AG408</f>
        <v>121.893</v>
      </c>
      <c r="Q392" s="436">
        <f t="shared" si="6"/>
        <v>84.064137931034494</v>
      </c>
    </row>
    <row r="393" spans="2:17" ht="13.5" thickBot="1" x14ac:dyDescent="0.25">
      <c r="B393" s="521" t="str">
        <f>+'11'!B409:M409</f>
        <v>Уплата прочих налогов, сборов</v>
      </c>
      <c r="C393" s="521"/>
      <c r="D393" s="521"/>
      <c r="E393" s="521"/>
      <c r="F393" s="522"/>
      <c r="G393" s="366" t="str">
        <f>+'11'!Q409</f>
        <v>7800000194</v>
      </c>
      <c r="H393" s="363" t="str">
        <f>+'11'!R409</f>
        <v>852</v>
      </c>
      <c r="I393" s="418">
        <f>+'11'!O409</f>
        <v>1</v>
      </c>
      <c r="J393" s="418">
        <f>+'11'!P409</f>
        <v>4</v>
      </c>
      <c r="K393" s="523"/>
      <c r="L393" s="524"/>
      <c r="M393" s="361"/>
      <c r="N393" s="362"/>
      <c r="O393" s="365">
        <f>+'11'!U409</f>
        <v>80</v>
      </c>
      <c r="P393" s="438">
        <f>+'11'!AG409</f>
        <v>39.603000000000002</v>
      </c>
      <c r="Q393" s="436">
        <f t="shared" si="6"/>
        <v>49.503750000000004</v>
      </c>
    </row>
    <row r="394" spans="2:17" ht="13.5" thickBot="1" x14ac:dyDescent="0.25">
      <c r="B394" s="521" t="str">
        <f>+'11'!B410:M410</f>
        <v>Уплата иных платежей</v>
      </c>
      <c r="C394" s="521"/>
      <c r="D394" s="521"/>
      <c r="E394" s="521"/>
      <c r="F394" s="522"/>
      <c r="G394" s="366" t="str">
        <f>+'11'!Q410</f>
        <v>7800000194</v>
      </c>
      <c r="H394" s="363" t="str">
        <f>+'11'!R410</f>
        <v>853</v>
      </c>
      <c r="I394" s="418">
        <f>+'11'!O410</f>
        <v>1</v>
      </c>
      <c r="J394" s="418">
        <f>+'11'!P410</f>
        <v>4</v>
      </c>
      <c r="K394" s="523"/>
      <c r="L394" s="524"/>
      <c r="M394" s="361"/>
      <c r="N394" s="362"/>
      <c r="O394" s="365">
        <f>+'11'!U410</f>
        <v>232</v>
      </c>
      <c r="P394" s="438">
        <f>+'11'!AG410</f>
        <v>143.09993</v>
      </c>
      <c r="Q394" s="436">
        <f t="shared" si="6"/>
        <v>61.681004310344825</v>
      </c>
    </row>
    <row r="395" spans="2:17" ht="13.5" thickBot="1" x14ac:dyDescent="0.25">
      <c r="B395" s="521" t="str">
        <f>+'11'!B411:M411</f>
        <v>Обеспечение функционирования местной администрации (Иные выплаты персоналу муниципальных органов, за исключением фонда оплаты труда)</v>
      </c>
      <c r="C395" s="521"/>
      <c r="D395" s="521"/>
      <c r="E395" s="521"/>
      <c r="F395" s="522"/>
      <c r="G395" s="366" t="str">
        <f>+'11'!Q411</f>
        <v>7800000870</v>
      </c>
      <c r="H395" s="363">
        <f>+'11'!R411</f>
        <v>0</v>
      </c>
      <c r="I395" s="418">
        <f>+'11'!O411</f>
        <v>1</v>
      </c>
      <c r="J395" s="418">
        <f>+'11'!P411</f>
        <v>4</v>
      </c>
      <c r="K395" s="523"/>
      <c r="L395" s="524"/>
      <c r="M395" s="361"/>
      <c r="N395" s="362"/>
      <c r="O395" s="365">
        <f>+'11'!U411</f>
        <v>22.4</v>
      </c>
      <c r="P395" s="438">
        <f>+'11'!AG411</f>
        <v>0</v>
      </c>
      <c r="Q395" s="436">
        <f t="shared" si="6"/>
        <v>0</v>
      </c>
    </row>
    <row r="396" spans="2:17" ht="13.5" thickBot="1" x14ac:dyDescent="0.25">
      <c r="B396" s="521" t="str">
        <f>+'11'!B412:M412</f>
        <v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v>
      </c>
      <c r="C396" s="521"/>
      <c r="D396" s="521"/>
      <c r="E396" s="521"/>
      <c r="F396" s="522"/>
      <c r="G396" s="366" t="str">
        <f>+'11'!Q412</f>
        <v>7800000870</v>
      </c>
      <c r="H396" s="363" t="str">
        <f>+'11'!R412</f>
        <v>100</v>
      </c>
      <c r="I396" s="418">
        <f>+'11'!O412</f>
        <v>1</v>
      </c>
      <c r="J396" s="418">
        <f>+'11'!P412</f>
        <v>4</v>
      </c>
      <c r="K396" s="523"/>
      <c r="L396" s="524"/>
      <c r="M396" s="361"/>
      <c r="N396" s="362"/>
      <c r="O396" s="365">
        <f>+'11'!U412</f>
        <v>22.4</v>
      </c>
      <c r="P396" s="438">
        <f>+'11'!AG412</f>
        <v>0</v>
      </c>
      <c r="Q396" s="436">
        <f t="shared" ref="Q396:Q438" si="8">P396/O396*100</f>
        <v>0</v>
      </c>
    </row>
    <row r="397" spans="2:17" ht="13.5" thickBot="1" x14ac:dyDescent="0.25">
      <c r="B397" s="521" t="str">
        <f>+'11'!B413:M413</f>
        <v>Расходы на выплаты персоналу государственных (муниципальных) органов</v>
      </c>
      <c r="C397" s="521"/>
      <c r="D397" s="521"/>
      <c r="E397" s="521"/>
      <c r="F397" s="522"/>
      <c r="G397" s="366" t="str">
        <f>+'11'!Q413</f>
        <v>7800000870</v>
      </c>
      <c r="H397" s="363" t="str">
        <f>+'11'!R413</f>
        <v>120</v>
      </c>
      <c r="I397" s="418">
        <f>+'11'!O413</f>
        <v>1</v>
      </c>
      <c r="J397" s="418">
        <f>+'11'!P413</f>
        <v>4</v>
      </c>
      <c r="K397" s="523"/>
      <c r="L397" s="524"/>
      <c r="M397" s="361"/>
      <c r="N397" s="362"/>
      <c r="O397" s="365">
        <f>+'11'!U413</f>
        <v>22.4</v>
      </c>
      <c r="P397" s="438">
        <f>+'11'!AG413</f>
        <v>0</v>
      </c>
      <c r="Q397" s="436">
        <f t="shared" si="8"/>
        <v>0</v>
      </c>
    </row>
    <row r="398" spans="2:17" ht="13.5" thickBot="1" x14ac:dyDescent="0.25">
      <c r="B398" s="521" t="str">
        <f>+'11'!B414:M414</f>
        <v>Иные выплаты персоналу государственных (муниципальных) органов, за исключением фонда оплаты труда</v>
      </c>
      <c r="C398" s="521"/>
      <c r="D398" s="521"/>
      <c r="E398" s="521"/>
      <c r="F398" s="522"/>
      <c r="G398" s="366" t="str">
        <f>+'11'!Q414</f>
        <v>7800000870</v>
      </c>
      <c r="H398" s="363" t="str">
        <f>+'11'!R414</f>
        <v>122</v>
      </c>
      <c r="I398" s="418">
        <f>+'11'!O414</f>
        <v>1</v>
      </c>
      <c r="J398" s="418">
        <f>+'11'!P414</f>
        <v>4</v>
      </c>
      <c r="K398" s="523"/>
      <c r="L398" s="524"/>
      <c r="M398" s="361"/>
      <c r="N398" s="362"/>
      <c r="O398" s="365">
        <f>+'11'!U414</f>
        <v>22.4</v>
      </c>
      <c r="P398" s="438">
        <f>+'11'!AG414</f>
        <v>0</v>
      </c>
      <c r="Q398" s="436">
        <f t="shared" si="8"/>
        <v>0</v>
      </c>
    </row>
    <row r="399" spans="2:17" ht="13.5" thickBot="1" x14ac:dyDescent="0.25">
      <c r="B399" s="521" t="str">
        <f>+'11'!B588:M588</f>
        <v>Обеспечение деятельности (оказание услуг)  учреждений средств массовой информации</v>
      </c>
      <c r="C399" s="521"/>
      <c r="D399" s="521"/>
      <c r="E399" s="521"/>
      <c r="F399" s="522"/>
      <c r="G399" s="366" t="str">
        <f>+'11'!Q588</f>
        <v>7800040060</v>
      </c>
      <c r="H399" s="363">
        <f>+'11'!R588</f>
        <v>0</v>
      </c>
      <c r="I399" s="418">
        <f>+'11'!O588</f>
        <v>12</v>
      </c>
      <c r="J399" s="418">
        <f>+'11'!P588</f>
        <v>2</v>
      </c>
      <c r="K399" s="523"/>
      <c r="L399" s="524"/>
      <c r="M399" s="361"/>
      <c r="N399" s="362"/>
      <c r="O399" s="365">
        <f>+'11'!U588</f>
        <v>180</v>
      </c>
      <c r="P399" s="438">
        <f>+'11'!AG588</f>
        <v>20</v>
      </c>
      <c r="Q399" s="436">
        <f t="shared" si="8"/>
        <v>11.111111111111111</v>
      </c>
    </row>
    <row r="400" spans="2:17" ht="13.5" thickBot="1" x14ac:dyDescent="0.25">
      <c r="B400" s="521" t="str">
        <f>+'11'!B589:M589</f>
        <v>Закупка товаров, работ и услуг для обеспечения государственных (муниципальных) нужд</v>
      </c>
      <c r="C400" s="521"/>
      <c r="D400" s="521"/>
      <c r="E400" s="521"/>
      <c r="F400" s="522"/>
      <c r="G400" s="366" t="str">
        <f>+'11'!Q589</f>
        <v>7800040060</v>
      </c>
      <c r="H400" s="363" t="str">
        <f>+'11'!R589</f>
        <v>200</v>
      </c>
      <c r="I400" s="418">
        <f>+'11'!O589</f>
        <v>12</v>
      </c>
      <c r="J400" s="418">
        <f>+'11'!P589</f>
        <v>2</v>
      </c>
      <c r="K400" s="523"/>
      <c r="L400" s="524"/>
      <c r="M400" s="361"/>
      <c r="N400" s="362"/>
      <c r="O400" s="365">
        <f>+'11'!U589</f>
        <v>180</v>
      </c>
      <c r="P400" s="438">
        <f>+'11'!AG589</f>
        <v>20</v>
      </c>
      <c r="Q400" s="436">
        <f t="shared" si="8"/>
        <v>11.111111111111111</v>
      </c>
    </row>
    <row r="401" spans="2:19" ht="13.5" thickBot="1" x14ac:dyDescent="0.25">
      <c r="B401" s="521" t="str">
        <f>+'11'!B590:M590</f>
        <v>Иные закупки товаров, работ и услуг для обеспечения государственных (муниципальных) нужд</v>
      </c>
      <c r="C401" s="521"/>
      <c r="D401" s="521"/>
      <c r="E401" s="521"/>
      <c r="F401" s="522"/>
      <c r="G401" s="366" t="str">
        <f>+'11'!Q590</f>
        <v>7800040060</v>
      </c>
      <c r="H401" s="363" t="str">
        <f>+'11'!R590</f>
        <v>240</v>
      </c>
      <c r="I401" s="418">
        <f>+'11'!O590</f>
        <v>12</v>
      </c>
      <c r="J401" s="418">
        <f>+'11'!P590</f>
        <v>2</v>
      </c>
      <c r="K401" s="523"/>
      <c r="L401" s="524"/>
      <c r="M401" s="361"/>
      <c r="N401" s="362"/>
      <c r="O401" s="365">
        <f>+'11'!U590</f>
        <v>180</v>
      </c>
      <c r="P401" s="438">
        <f>+'11'!AG590</f>
        <v>20</v>
      </c>
      <c r="Q401" s="436">
        <f t="shared" si="8"/>
        <v>11.111111111111111</v>
      </c>
    </row>
    <row r="402" spans="2:19" ht="13.5" thickBot="1" x14ac:dyDescent="0.25">
      <c r="B402" s="521" t="str">
        <f>+'11'!B591:M591</f>
        <v>Прочая закупка товаров, работ и услуг</v>
      </c>
      <c r="C402" s="521"/>
      <c r="D402" s="521"/>
      <c r="E402" s="521"/>
      <c r="F402" s="522"/>
      <c r="G402" s="366" t="str">
        <f>+'11'!Q591</f>
        <v>7800040060</v>
      </c>
      <c r="H402" s="363" t="str">
        <f>+'11'!R591</f>
        <v>244</v>
      </c>
      <c r="I402" s="418">
        <f>+'11'!O591</f>
        <v>12</v>
      </c>
      <c r="J402" s="418">
        <f>+'11'!P591</f>
        <v>2</v>
      </c>
      <c r="K402" s="523"/>
      <c r="L402" s="524"/>
      <c r="M402" s="361"/>
      <c r="N402" s="362"/>
      <c r="O402" s="365">
        <f>+'11'!U591</f>
        <v>180</v>
      </c>
      <c r="P402" s="438">
        <f>+'11'!AG591</f>
        <v>20</v>
      </c>
      <c r="Q402" s="436">
        <f t="shared" si="8"/>
        <v>11.111111111111111</v>
      </c>
    </row>
    <row r="403" spans="2:19" s="419" customFormat="1" ht="27" customHeight="1" thickBot="1" x14ac:dyDescent="0.25">
      <c r="B403" s="525" t="str">
        <f>+'11'!B332:M332</f>
        <v xml:space="preserve">Функционирование представительного органа муниципального района Республики Тыва </v>
      </c>
      <c r="C403" s="525"/>
      <c r="D403" s="525"/>
      <c r="E403" s="525"/>
      <c r="F403" s="526"/>
      <c r="G403" s="420" t="str">
        <f>+'11'!Q332</f>
        <v>7900000000</v>
      </c>
      <c r="H403" s="421">
        <f>+'11'!R332</f>
        <v>0</v>
      </c>
      <c r="I403" s="425">
        <f>+'11'!O332</f>
        <v>1</v>
      </c>
      <c r="J403" s="425">
        <f>+'11'!P332</f>
        <v>3</v>
      </c>
      <c r="K403" s="527"/>
      <c r="L403" s="528"/>
      <c r="M403" s="422"/>
      <c r="N403" s="423"/>
      <c r="O403" s="424">
        <f>+O404+O409+O414+O419</f>
        <v>3598.0820000000003</v>
      </c>
      <c r="P403" s="433">
        <f>+P404+P409+P414+P419</f>
        <v>952.23971000000006</v>
      </c>
      <c r="Q403" s="435">
        <f t="shared" si="8"/>
        <v>26.465203127666349</v>
      </c>
      <c r="R403" s="419">
        <f>+'[1]13'!$M$184</f>
        <v>3598.0819999999999</v>
      </c>
      <c r="S403" s="428">
        <f>+R403-O403</f>
        <v>0</v>
      </c>
    </row>
    <row r="404" spans="2:19" ht="13.5" thickBot="1" x14ac:dyDescent="0.25">
      <c r="B404" s="521" t="str">
        <f>+'11'!B333:M333</f>
        <v>Обеспечение функционирования председателя представительного органа муниципального образования</v>
      </c>
      <c r="C404" s="521"/>
      <c r="D404" s="521"/>
      <c r="E404" s="521"/>
      <c r="F404" s="522"/>
      <c r="G404" s="366" t="str">
        <f>+'11'!Q333</f>
        <v>7900000111</v>
      </c>
      <c r="H404" s="363">
        <f>+'11'!R333</f>
        <v>0</v>
      </c>
      <c r="I404" s="418">
        <f>+'11'!O333</f>
        <v>1</v>
      </c>
      <c r="J404" s="418">
        <f>+'11'!P333</f>
        <v>3</v>
      </c>
      <c r="K404" s="523"/>
      <c r="L404" s="524"/>
      <c r="M404" s="361"/>
      <c r="N404" s="362"/>
      <c r="O404" s="365">
        <f>+'11'!U333</f>
        <v>1122.6389999999999</v>
      </c>
      <c r="P404" s="438">
        <f>+'11'!AG333</f>
        <v>269.43986000000001</v>
      </c>
      <c r="Q404" s="436">
        <f t="shared" si="8"/>
        <v>24.000578992890862</v>
      </c>
    </row>
    <row r="405" spans="2:19" ht="13.5" thickBot="1" x14ac:dyDescent="0.25">
      <c r="B405" s="521" t="str">
        <f>+'11'!B334:M334</f>
        <v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v>
      </c>
      <c r="C405" s="521"/>
      <c r="D405" s="521"/>
      <c r="E405" s="521"/>
      <c r="F405" s="522"/>
      <c r="G405" s="366" t="str">
        <f>+'11'!Q334</f>
        <v>7900000111</v>
      </c>
      <c r="H405" s="363" t="str">
        <f>+'11'!R334</f>
        <v>100</v>
      </c>
      <c r="I405" s="418">
        <f>+'11'!O334</f>
        <v>1</v>
      </c>
      <c r="J405" s="418">
        <f>+'11'!P334</f>
        <v>3</v>
      </c>
      <c r="K405" s="523"/>
      <c r="L405" s="524"/>
      <c r="M405" s="361"/>
      <c r="N405" s="362"/>
      <c r="O405" s="365">
        <f>+'11'!U334</f>
        <v>1122.6389999999999</v>
      </c>
      <c r="P405" s="438">
        <f>+'11'!AG334</f>
        <v>269.43986000000001</v>
      </c>
      <c r="Q405" s="436">
        <f t="shared" si="8"/>
        <v>24.000578992890862</v>
      </c>
    </row>
    <row r="406" spans="2:19" ht="13.5" thickBot="1" x14ac:dyDescent="0.25">
      <c r="B406" s="521" t="str">
        <f>+'11'!B335:M335</f>
        <v>Расходы на выплаты персоналу государственных (муниципальных) органов</v>
      </c>
      <c r="C406" s="521"/>
      <c r="D406" s="521"/>
      <c r="E406" s="521"/>
      <c r="F406" s="522"/>
      <c r="G406" s="366" t="str">
        <f>+'11'!Q335</f>
        <v>7900000111</v>
      </c>
      <c r="H406" s="363" t="str">
        <f>+'11'!R335</f>
        <v>120</v>
      </c>
      <c r="I406" s="418">
        <f>+'11'!O335</f>
        <v>1</v>
      </c>
      <c r="J406" s="418">
        <f>+'11'!P335</f>
        <v>3</v>
      </c>
      <c r="K406" s="523"/>
      <c r="L406" s="524"/>
      <c r="M406" s="361"/>
      <c r="N406" s="362"/>
      <c r="O406" s="365">
        <f>+'11'!U335</f>
        <v>1122.6389999999999</v>
      </c>
      <c r="P406" s="438">
        <f>+'11'!AG335</f>
        <v>269.43986000000001</v>
      </c>
      <c r="Q406" s="436">
        <f t="shared" si="8"/>
        <v>24.000578992890862</v>
      </c>
    </row>
    <row r="407" spans="2:19" ht="13.5" thickBot="1" x14ac:dyDescent="0.25">
      <c r="B407" s="521" t="str">
        <f>+'11'!B336:M336</f>
        <v>Фонд оплаты труда государственных (муниципальных) органов</v>
      </c>
      <c r="C407" s="521"/>
      <c r="D407" s="521"/>
      <c r="E407" s="521"/>
      <c r="F407" s="522"/>
      <c r="G407" s="366" t="str">
        <f>+'11'!Q336</f>
        <v>7900000111</v>
      </c>
      <c r="H407" s="363" t="str">
        <f>+'11'!R336</f>
        <v>121</v>
      </c>
      <c r="I407" s="418">
        <f>+'11'!O336</f>
        <v>1</v>
      </c>
      <c r="J407" s="418">
        <f>+'11'!P336</f>
        <v>3</v>
      </c>
      <c r="K407" s="523"/>
      <c r="L407" s="524"/>
      <c r="M407" s="361"/>
      <c r="N407" s="362"/>
      <c r="O407" s="365">
        <f>+'11'!U336</f>
        <v>862.24199999999996</v>
      </c>
      <c r="P407" s="438">
        <f>+'11'!AG336</f>
        <v>206.94306</v>
      </c>
      <c r="Q407" s="436">
        <f t="shared" si="8"/>
        <v>24.000577564071339</v>
      </c>
    </row>
    <row r="408" spans="2:19" ht="13.5" thickBot="1" x14ac:dyDescent="0.25">
      <c r="B408" s="521" t="str">
        <f>+'11'!B337:M337</f>
        <v>Взносы по обязательному социальному страхованию на выплаты денежного содержания и иные выплаты работникам государственных (муниципальных) органов</v>
      </c>
      <c r="C408" s="521"/>
      <c r="D408" s="521"/>
      <c r="E408" s="521"/>
      <c r="F408" s="522"/>
      <c r="G408" s="366" t="str">
        <f>+'11'!Q337</f>
        <v>7900000111</v>
      </c>
      <c r="H408" s="363" t="str">
        <f>+'11'!R337</f>
        <v>129</v>
      </c>
      <c r="I408" s="418">
        <f>+'11'!O337</f>
        <v>1</v>
      </c>
      <c r="J408" s="418">
        <f>+'11'!P337</f>
        <v>3</v>
      </c>
      <c r="K408" s="523"/>
      <c r="L408" s="524"/>
      <c r="M408" s="361"/>
      <c r="N408" s="362"/>
      <c r="O408" s="365">
        <f>+'11'!U337</f>
        <v>260.39699999999999</v>
      </c>
      <c r="P408" s="438">
        <f>+'11'!AG337</f>
        <v>62.4968</v>
      </c>
      <c r="Q408" s="436">
        <f t="shared" si="8"/>
        <v>24.000583724082844</v>
      </c>
    </row>
    <row r="409" spans="2:19" ht="13.5" thickBot="1" x14ac:dyDescent="0.25">
      <c r="B409" s="521" t="str">
        <f>+'11'!B338:M338</f>
        <v>Обеспечение функционирования депутатов представительного органа муниципального района</v>
      </c>
      <c r="C409" s="521"/>
      <c r="D409" s="521"/>
      <c r="E409" s="521"/>
      <c r="F409" s="522"/>
      <c r="G409" s="366" t="str">
        <f>+'11'!Q338</f>
        <v>7900000112</v>
      </c>
      <c r="H409" s="363">
        <f>+'11'!R338</f>
        <v>0</v>
      </c>
      <c r="I409" s="418">
        <f>+'11'!O338</f>
        <v>1</v>
      </c>
      <c r="J409" s="418">
        <f>+'11'!P338</f>
        <v>3</v>
      </c>
      <c r="K409" s="523"/>
      <c r="L409" s="524"/>
      <c r="M409" s="361"/>
      <c r="N409" s="362"/>
      <c r="O409" s="365">
        <f>+'11'!U338</f>
        <v>968.26499999999999</v>
      </c>
      <c r="P409" s="438">
        <f>+'11'!AG338</f>
        <v>264.61736000000002</v>
      </c>
      <c r="Q409" s="436">
        <f t="shared" si="8"/>
        <v>27.32902252998921</v>
      </c>
    </row>
    <row r="410" spans="2:19" ht="13.5" thickBot="1" x14ac:dyDescent="0.25">
      <c r="B410" s="521" t="str">
        <f>+'11'!B339:M339</f>
        <v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v>
      </c>
      <c r="C410" s="521"/>
      <c r="D410" s="521"/>
      <c r="E410" s="521"/>
      <c r="F410" s="522"/>
      <c r="G410" s="366" t="str">
        <f>+'11'!Q339</f>
        <v>7900000112</v>
      </c>
      <c r="H410" s="363" t="str">
        <f>+'11'!R339</f>
        <v>100</v>
      </c>
      <c r="I410" s="418">
        <f>+'11'!O339</f>
        <v>1</v>
      </c>
      <c r="J410" s="418">
        <f>+'11'!P339</f>
        <v>3</v>
      </c>
      <c r="K410" s="523"/>
      <c r="L410" s="524"/>
      <c r="M410" s="361"/>
      <c r="N410" s="362"/>
      <c r="O410" s="365">
        <f>+'11'!U339</f>
        <v>968.26499999999999</v>
      </c>
      <c r="P410" s="438">
        <f>+'11'!AG339</f>
        <v>264.61736000000002</v>
      </c>
      <c r="Q410" s="436">
        <f t="shared" si="8"/>
        <v>27.32902252998921</v>
      </c>
    </row>
    <row r="411" spans="2:19" ht="13.5" thickBot="1" x14ac:dyDescent="0.25">
      <c r="B411" s="521" t="str">
        <f>+'11'!B340:M340</f>
        <v>Расходы на выплаты персоналу государственных (муниципальных) органов</v>
      </c>
      <c r="C411" s="521"/>
      <c r="D411" s="521"/>
      <c r="E411" s="521"/>
      <c r="F411" s="522"/>
      <c r="G411" s="366" t="str">
        <f>+'11'!Q340</f>
        <v>7900000112</v>
      </c>
      <c r="H411" s="363" t="str">
        <f>+'11'!R340</f>
        <v>120</v>
      </c>
      <c r="I411" s="418">
        <f>+'11'!O340</f>
        <v>1</v>
      </c>
      <c r="J411" s="418">
        <f>+'11'!P340</f>
        <v>3</v>
      </c>
      <c r="K411" s="523"/>
      <c r="L411" s="524"/>
      <c r="M411" s="361"/>
      <c r="N411" s="362"/>
      <c r="O411" s="365">
        <f>+'11'!U340</f>
        <v>968.26499999999999</v>
      </c>
      <c r="P411" s="438">
        <f>+'11'!AG340</f>
        <v>264.61736000000002</v>
      </c>
      <c r="Q411" s="436">
        <f t="shared" si="8"/>
        <v>27.32902252998921</v>
      </c>
    </row>
    <row r="412" spans="2:19" ht="13.5" thickBot="1" x14ac:dyDescent="0.25">
      <c r="B412" s="521" t="str">
        <f>+'11'!B341:M341</f>
        <v>Фонд оплаты труда государственных (муниципальных) органов</v>
      </c>
      <c r="C412" s="521"/>
      <c r="D412" s="521"/>
      <c r="E412" s="521"/>
      <c r="F412" s="522"/>
      <c r="G412" s="366" t="str">
        <f>+'11'!Q341</f>
        <v>7900000112</v>
      </c>
      <c r="H412" s="363" t="str">
        <f>+'11'!R341</f>
        <v>121</v>
      </c>
      <c r="I412" s="418">
        <f>+'11'!O341</f>
        <v>1</v>
      </c>
      <c r="J412" s="418">
        <f>+'11'!P341</f>
        <v>3</v>
      </c>
      <c r="K412" s="523"/>
      <c r="L412" s="524"/>
      <c r="M412" s="361"/>
      <c r="N412" s="362"/>
      <c r="O412" s="365">
        <f>+'11'!U341</f>
        <v>743.67499999999995</v>
      </c>
      <c r="P412" s="438">
        <f>+'11'!AG341</f>
        <v>204.16079999999999</v>
      </c>
      <c r="Q412" s="436">
        <f t="shared" si="8"/>
        <v>27.452959962349144</v>
      </c>
    </row>
    <row r="413" spans="2:19" ht="13.5" thickBot="1" x14ac:dyDescent="0.25">
      <c r="B413" s="521" t="str">
        <f>+'11'!B342:M342</f>
        <v>Взносы по обязательному социальному страхованию на выплаты денежного содержания и иные выплаты работникам государственных (муниципальных) органов</v>
      </c>
      <c r="C413" s="521"/>
      <c r="D413" s="521"/>
      <c r="E413" s="521"/>
      <c r="F413" s="522"/>
      <c r="G413" s="366" t="str">
        <f>+'11'!Q342</f>
        <v>7900000112</v>
      </c>
      <c r="H413" s="363" t="str">
        <f>+'11'!R342</f>
        <v>129</v>
      </c>
      <c r="I413" s="418">
        <f>+'11'!O342</f>
        <v>1</v>
      </c>
      <c r="J413" s="418">
        <f>+'11'!P342</f>
        <v>3</v>
      </c>
      <c r="K413" s="523"/>
      <c r="L413" s="524"/>
      <c r="M413" s="361"/>
      <c r="N413" s="362"/>
      <c r="O413" s="365">
        <f>+'11'!U342</f>
        <v>224.59</v>
      </c>
      <c r="P413" s="438">
        <f>+'11'!AG342</f>
        <v>60.456560000000003</v>
      </c>
      <c r="Q413" s="436">
        <f t="shared" si="8"/>
        <v>26.918633955207266</v>
      </c>
    </row>
    <row r="414" spans="2:19" ht="13.5" thickBot="1" x14ac:dyDescent="0.25">
      <c r="B414" s="521" t="str">
        <f>+'11'!B343:M343</f>
        <v>Обеспечение деятельности представительного органа местного самоуправления  (Расходы на выплаты персоналу в целях обеспечения выполнения функций муниципальными органами)</v>
      </c>
      <c r="C414" s="521"/>
      <c r="D414" s="521"/>
      <c r="E414" s="521"/>
      <c r="F414" s="522"/>
      <c r="G414" s="366" t="str">
        <f>+'11'!Q343</f>
        <v>7900000113</v>
      </c>
      <c r="H414" s="363">
        <f>+'11'!R343</f>
        <v>0</v>
      </c>
      <c r="I414" s="418">
        <f>+'11'!O343</f>
        <v>1</v>
      </c>
      <c r="J414" s="418">
        <f>+'11'!P343</f>
        <v>3</v>
      </c>
      <c r="K414" s="523"/>
      <c r="L414" s="524"/>
      <c r="M414" s="361"/>
      <c r="N414" s="362"/>
      <c r="O414" s="365">
        <f>+'11'!U343</f>
        <v>779.33799999999997</v>
      </c>
      <c r="P414" s="438">
        <f>+'11'!AG343</f>
        <v>189.79874999999998</v>
      </c>
      <c r="Q414" s="436">
        <f t="shared" si="8"/>
        <v>24.353842620275156</v>
      </c>
    </row>
    <row r="415" spans="2:19" ht="13.5" thickBot="1" x14ac:dyDescent="0.25">
      <c r="B415" s="521" t="str">
        <f>+'11'!B344:M344</f>
        <v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v>
      </c>
      <c r="C415" s="521"/>
      <c r="D415" s="521"/>
      <c r="E415" s="521"/>
      <c r="F415" s="522"/>
      <c r="G415" s="366" t="str">
        <f>+'11'!Q344</f>
        <v>7900000113</v>
      </c>
      <c r="H415" s="363" t="str">
        <f>+'11'!R344</f>
        <v>100</v>
      </c>
      <c r="I415" s="418">
        <f>+'11'!O344</f>
        <v>1</v>
      </c>
      <c r="J415" s="418">
        <f>+'11'!P344</f>
        <v>3</v>
      </c>
      <c r="K415" s="523"/>
      <c r="L415" s="524"/>
      <c r="M415" s="361"/>
      <c r="N415" s="362"/>
      <c r="O415" s="365">
        <f>+'11'!U344</f>
        <v>779.33799999999997</v>
      </c>
      <c r="P415" s="438">
        <f>+'11'!AG344</f>
        <v>189.79874999999998</v>
      </c>
      <c r="Q415" s="436">
        <f t="shared" si="8"/>
        <v>24.353842620275156</v>
      </c>
    </row>
    <row r="416" spans="2:19" ht="13.5" thickBot="1" x14ac:dyDescent="0.25">
      <c r="B416" s="521" t="str">
        <f>+'11'!B345:M345</f>
        <v>Расходы на выплаты персоналу государственных (муниципальных) органов</v>
      </c>
      <c r="C416" s="521"/>
      <c r="D416" s="521"/>
      <c r="E416" s="521"/>
      <c r="F416" s="522"/>
      <c r="G416" s="366" t="str">
        <f>+'11'!Q345</f>
        <v>7900000113</v>
      </c>
      <c r="H416" s="363" t="str">
        <f>+'11'!R345</f>
        <v>120</v>
      </c>
      <c r="I416" s="418">
        <f>+'11'!O345</f>
        <v>1</v>
      </c>
      <c r="J416" s="418">
        <f>+'11'!P345</f>
        <v>3</v>
      </c>
      <c r="K416" s="523"/>
      <c r="L416" s="524"/>
      <c r="M416" s="361"/>
      <c r="N416" s="362"/>
      <c r="O416" s="365">
        <f>+'11'!U345</f>
        <v>779.33799999999997</v>
      </c>
      <c r="P416" s="438">
        <f>+'11'!AG345</f>
        <v>189.79874999999998</v>
      </c>
      <c r="Q416" s="436">
        <f t="shared" si="8"/>
        <v>24.353842620275156</v>
      </c>
    </row>
    <row r="417" spans="2:19" ht="13.5" thickBot="1" x14ac:dyDescent="0.25">
      <c r="B417" s="521" t="str">
        <f>+'11'!B346:M346</f>
        <v>Фонд оплаты труда государственных (муниципальных) органов</v>
      </c>
      <c r="C417" s="521"/>
      <c r="D417" s="521"/>
      <c r="E417" s="521"/>
      <c r="F417" s="522"/>
      <c r="G417" s="366" t="str">
        <f>+'11'!Q346</f>
        <v>7900000113</v>
      </c>
      <c r="H417" s="363" t="str">
        <f>+'11'!R346</f>
        <v>121</v>
      </c>
      <c r="I417" s="418">
        <f>+'11'!O346</f>
        <v>1</v>
      </c>
      <c r="J417" s="418">
        <f>+'11'!P346</f>
        <v>3</v>
      </c>
      <c r="K417" s="523"/>
      <c r="L417" s="524"/>
      <c r="M417" s="361"/>
      <c r="N417" s="362"/>
      <c r="O417" s="365">
        <f>+'11'!U346</f>
        <v>598.57000000000005</v>
      </c>
      <c r="P417" s="438">
        <f>+'11'!AG346</f>
        <v>145.77476999999999</v>
      </c>
      <c r="Q417" s="436">
        <f t="shared" si="8"/>
        <v>24.353838314649913</v>
      </c>
    </row>
    <row r="418" spans="2:19" ht="13.5" thickBot="1" x14ac:dyDescent="0.25">
      <c r="B418" s="521" t="str">
        <f>+'11'!B347:M347</f>
        <v>Взносы по обязательному социальному страхованию на выплаты денежного содержания и иные выплаты работникам государственных (муниципальных) органов</v>
      </c>
      <c r="C418" s="521"/>
      <c r="D418" s="521"/>
      <c r="E418" s="521"/>
      <c r="F418" s="522"/>
      <c r="G418" s="366" t="str">
        <f>+'11'!Q347</f>
        <v>7900000113</v>
      </c>
      <c r="H418" s="363" t="str">
        <f>+'11'!R347</f>
        <v>129</v>
      </c>
      <c r="I418" s="418">
        <f>+'11'!O347</f>
        <v>1</v>
      </c>
      <c r="J418" s="418">
        <f>+'11'!P347</f>
        <v>3</v>
      </c>
      <c r="K418" s="523"/>
      <c r="L418" s="524"/>
      <c r="M418" s="361"/>
      <c r="N418" s="362"/>
      <c r="O418" s="365">
        <f>+'11'!U347</f>
        <v>180.768</v>
      </c>
      <c r="P418" s="438">
        <f>+'11'!AG347</f>
        <v>44.023980000000002</v>
      </c>
      <c r="Q418" s="436">
        <f t="shared" si="8"/>
        <v>24.35385687732342</v>
      </c>
    </row>
    <row r="419" spans="2:19" ht="13.5" thickBot="1" x14ac:dyDescent="0.25">
      <c r="B419" s="521" t="str">
        <f>+'11'!B348:M348</f>
        <v>Обеспечение деятельности представительного органа местного самоуправления (Закупка товаров, работ и услуг для обеспечения муниципальных нужд)</v>
      </c>
      <c r="C419" s="521"/>
      <c r="D419" s="521"/>
      <c r="E419" s="521"/>
      <c r="F419" s="522"/>
      <c r="G419" s="366" t="str">
        <f>+'11'!Q348</f>
        <v>7900000191</v>
      </c>
      <c r="H419" s="363">
        <f>+'11'!R348</f>
        <v>0</v>
      </c>
      <c r="I419" s="418">
        <f>+'11'!O348</f>
        <v>1</v>
      </c>
      <c r="J419" s="418">
        <f>+'11'!P348</f>
        <v>3</v>
      </c>
      <c r="K419" s="523"/>
      <c r="L419" s="524"/>
      <c r="M419" s="361"/>
      <c r="N419" s="362"/>
      <c r="O419" s="365">
        <f>+'11'!U348</f>
        <v>727.84</v>
      </c>
      <c r="P419" s="438">
        <f>+'11'!AG348</f>
        <v>228.38374000000002</v>
      </c>
      <c r="Q419" s="436">
        <f t="shared" si="8"/>
        <v>31.378289184436142</v>
      </c>
    </row>
    <row r="420" spans="2:19" ht="13.5" thickBot="1" x14ac:dyDescent="0.25">
      <c r="B420" s="521" t="str">
        <f>+'11'!B349:M349</f>
        <v>Закупка товаров, работ и услуг для обеспечения государственных (муниципальных) нужд</v>
      </c>
      <c r="C420" s="521"/>
      <c r="D420" s="521"/>
      <c r="E420" s="521"/>
      <c r="F420" s="522"/>
      <c r="G420" s="366" t="str">
        <f>+'11'!Q349</f>
        <v>7900000191</v>
      </c>
      <c r="H420" s="363" t="str">
        <f>+'11'!R349</f>
        <v>200</v>
      </c>
      <c r="I420" s="418">
        <f>+'11'!O349</f>
        <v>1</v>
      </c>
      <c r="J420" s="418">
        <f>+'11'!P349</f>
        <v>3</v>
      </c>
      <c r="K420" s="523"/>
      <c r="L420" s="524"/>
      <c r="M420" s="361"/>
      <c r="N420" s="362"/>
      <c r="O420" s="365">
        <f>+'11'!U349</f>
        <v>717.84</v>
      </c>
      <c r="P420" s="438">
        <f>+'11'!AG349</f>
        <v>224.30474000000001</v>
      </c>
      <c r="Q420" s="436">
        <f t="shared" si="8"/>
        <v>31.247177644043241</v>
      </c>
    </row>
    <row r="421" spans="2:19" ht="13.5" thickBot="1" x14ac:dyDescent="0.25">
      <c r="B421" s="521" t="str">
        <f>+'11'!B350:M350</f>
        <v>Иные закупки товаров, работ и услуг для обеспечения государственных (муниципальных) нужд</v>
      </c>
      <c r="C421" s="521"/>
      <c r="D421" s="521"/>
      <c r="E421" s="521"/>
      <c r="F421" s="522"/>
      <c r="G421" s="366" t="str">
        <f>+'11'!Q350</f>
        <v>7900000191</v>
      </c>
      <c r="H421" s="363" t="str">
        <f>+'11'!R350</f>
        <v>240</v>
      </c>
      <c r="I421" s="418">
        <f>+'11'!O350</f>
        <v>1</v>
      </c>
      <c r="J421" s="418">
        <f>+'11'!P350</f>
        <v>3</v>
      </c>
      <c r="K421" s="523"/>
      <c r="L421" s="524"/>
      <c r="M421" s="361"/>
      <c r="N421" s="362"/>
      <c r="O421" s="365">
        <f>+'11'!U350</f>
        <v>717.84</v>
      </c>
      <c r="P421" s="438">
        <f>+'11'!AG350</f>
        <v>224.30474000000001</v>
      </c>
      <c r="Q421" s="436">
        <f t="shared" si="8"/>
        <v>31.247177644043241</v>
      </c>
    </row>
    <row r="422" spans="2:19" ht="13.5" thickBot="1" x14ac:dyDescent="0.25">
      <c r="B422" s="521" t="str">
        <f>+'11'!B351:M351</f>
        <v>Закупка товаров, работ, услуг в сфере информационно-коммуникационных технологий</v>
      </c>
      <c r="C422" s="521"/>
      <c r="D422" s="521"/>
      <c r="E422" s="521"/>
      <c r="F422" s="522"/>
      <c r="G422" s="366" t="str">
        <f>+'11'!Q351</f>
        <v>7900000191</v>
      </c>
      <c r="H422" s="363" t="str">
        <f>+'11'!R351</f>
        <v>242</v>
      </c>
      <c r="I422" s="418">
        <f>+'11'!O351</f>
        <v>1</v>
      </c>
      <c r="J422" s="418">
        <f>+'11'!P351</f>
        <v>3</v>
      </c>
      <c r="K422" s="523"/>
      <c r="L422" s="524"/>
      <c r="M422" s="361"/>
      <c r="N422" s="362"/>
      <c r="O422" s="365">
        <f>+'11'!U351</f>
        <v>111.643</v>
      </c>
      <c r="P422" s="438">
        <f>+'11'!AG351</f>
        <v>28.099740000000001</v>
      </c>
      <c r="Q422" s="436">
        <f t="shared" si="8"/>
        <v>25.169280653511638</v>
      </c>
    </row>
    <row r="423" spans="2:19" ht="13.5" thickBot="1" x14ac:dyDescent="0.25">
      <c r="B423" s="521" t="str">
        <f>+'11'!B352:M352</f>
        <v>Прочая закупка товаров, работ и услуг</v>
      </c>
      <c r="C423" s="521"/>
      <c r="D423" s="521"/>
      <c r="E423" s="521"/>
      <c r="F423" s="522"/>
      <c r="G423" s="366" t="str">
        <f>+'11'!Q352</f>
        <v>7900000191</v>
      </c>
      <c r="H423" s="363" t="str">
        <f>+'11'!R352</f>
        <v>244</v>
      </c>
      <c r="I423" s="418">
        <f>+'11'!O352</f>
        <v>1</v>
      </c>
      <c r="J423" s="418">
        <f>+'11'!P352</f>
        <v>3</v>
      </c>
      <c r="K423" s="523"/>
      <c r="L423" s="524"/>
      <c r="M423" s="361"/>
      <c r="N423" s="362"/>
      <c r="O423" s="365">
        <f>+'11'!U352</f>
        <v>606.197</v>
      </c>
      <c r="P423" s="438">
        <f>+'11'!AG352</f>
        <v>196.20500000000001</v>
      </c>
      <c r="Q423" s="436">
        <f t="shared" si="8"/>
        <v>32.366540909968208</v>
      </c>
    </row>
    <row r="424" spans="2:19" ht="13.5" thickBot="1" x14ac:dyDescent="0.25">
      <c r="B424" s="521" t="str">
        <f>+'11'!B353:M353</f>
        <v>Иные бюджетные ассигнования</v>
      </c>
      <c r="C424" s="521"/>
      <c r="D424" s="521"/>
      <c r="E424" s="521"/>
      <c r="F424" s="522"/>
      <c r="G424" s="366" t="str">
        <f>+'11'!Q353</f>
        <v>7900000191</v>
      </c>
      <c r="H424" s="363" t="str">
        <f>+'11'!R353</f>
        <v>800</v>
      </c>
      <c r="I424" s="418">
        <f>+'11'!O353</f>
        <v>1</v>
      </c>
      <c r="J424" s="418">
        <f>+'11'!P353</f>
        <v>3</v>
      </c>
      <c r="K424" s="523"/>
      <c r="L424" s="524"/>
      <c r="M424" s="361"/>
      <c r="N424" s="362"/>
      <c r="O424" s="365">
        <f>+'11'!U353</f>
        <v>10</v>
      </c>
      <c r="P424" s="438">
        <f>+'11'!AG353</f>
        <v>4.0789999999999997</v>
      </c>
      <c r="Q424" s="436">
        <f t="shared" si="8"/>
        <v>40.79</v>
      </c>
    </row>
    <row r="425" spans="2:19" ht="13.5" thickBot="1" x14ac:dyDescent="0.25">
      <c r="B425" s="521" t="str">
        <f>+'11'!B354:M354</f>
        <v>Уплата налогов, сборов и иных платежей</v>
      </c>
      <c r="C425" s="521"/>
      <c r="D425" s="521"/>
      <c r="E425" s="521"/>
      <c r="F425" s="522"/>
      <c r="G425" s="366" t="str">
        <f>+'11'!Q354</f>
        <v>7900000191</v>
      </c>
      <c r="H425" s="363" t="str">
        <f>+'11'!R354</f>
        <v>850</v>
      </c>
      <c r="I425" s="418">
        <f>+'11'!O354</f>
        <v>1</v>
      </c>
      <c r="J425" s="418">
        <f>+'11'!P354</f>
        <v>3</v>
      </c>
      <c r="K425" s="523"/>
      <c r="L425" s="524"/>
      <c r="M425" s="361"/>
      <c r="N425" s="362"/>
      <c r="O425" s="365">
        <f>+'11'!U354</f>
        <v>10</v>
      </c>
      <c r="P425" s="438">
        <f>+'11'!AG354</f>
        <v>4.0789999999999997</v>
      </c>
      <c r="Q425" s="436">
        <f t="shared" si="8"/>
        <v>40.79</v>
      </c>
    </row>
    <row r="426" spans="2:19" ht="13.5" thickBot="1" x14ac:dyDescent="0.25">
      <c r="B426" s="521" t="str">
        <f>+'11'!B355:M355</f>
        <v>Уплата налога на имущество организаций и земельного налога</v>
      </c>
      <c r="C426" s="521"/>
      <c r="D426" s="521"/>
      <c r="E426" s="521"/>
      <c r="F426" s="522"/>
      <c r="G426" s="366" t="str">
        <f>+'11'!Q355</f>
        <v>7900000191</v>
      </c>
      <c r="H426" s="363" t="str">
        <f>+'11'!R355</f>
        <v>851</v>
      </c>
      <c r="I426" s="418">
        <f>+'11'!O355</f>
        <v>1</v>
      </c>
      <c r="J426" s="418">
        <f>+'11'!P355</f>
        <v>3</v>
      </c>
      <c r="K426" s="523"/>
      <c r="L426" s="524"/>
      <c r="M426" s="361"/>
      <c r="N426" s="362"/>
      <c r="O426" s="365">
        <f>+'11'!U355</f>
        <v>6.5</v>
      </c>
      <c r="P426" s="438">
        <f>+'11'!AG355</f>
        <v>3.9510000000000001</v>
      </c>
      <c r="Q426" s="436">
        <f t="shared" si="8"/>
        <v>60.784615384615378</v>
      </c>
    </row>
    <row r="427" spans="2:19" ht="13.5" thickBot="1" x14ac:dyDescent="0.25">
      <c r="B427" s="521" t="str">
        <f>+'11'!B356:M356</f>
        <v>Уплата прочих налогов, сборов</v>
      </c>
      <c r="C427" s="521"/>
      <c r="D427" s="521"/>
      <c r="E427" s="521"/>
      <c r="F427" s="522"/>
      <c r="G427" s="366" t="str">
        <f>+'11'!Q356</f>
        <v>7900000191</v>
      </c>
      <c r="H427" s="363" t="str">
        <f>+'11'!R356</f>
        <v>852</v>
      </c>
      <c r="I427" s="418">
        <f>+'11'!O356</f>
        <v>1</v>
      </c>
      <c r="J427" s="418">
        <f>+'11'!P356</f>
        <v>3</v>
      </c>
      <c r="K427" s="523"/>
      <c r="L427" s="524"/>
      <c r="M427" s="361"/>
      <c r="N427" s="362"/>
      <c r="O427" s="365">
        <f>+'11'!U356</f>
        <v>2</v>
      </c>
      <c r="P427" s="438">
        <f>+'11'!AG356</f>
        <v>0.128</v>
      </c>
      <c r="Q427" s="436">
        <f t="shared" si="8"/>
        <v>6.4</v>
      </c>
    </row>
    <row r="428" spans="2:19" ht="13.5" thickBot="1" x14ac:dyDescent="0.25">
      <c r="B428" s="521" t="str">
        <f>+'11'!B357:M357</f>
        <v>Уплата иных платежей</v>
      </c>
      <c r="C428" s="521"/>
      <c r="D428" s="521"/>
      <c r="E428" s="521"/>
      <c r="F428" s="522"/>
      <c r="G428" s="366" t="str">
        <f>+'11'!Q357</f>
        <v>7900000191</v>
      </c>
      <c r="H428" s="363" t="str">
        <f>+'11'!R357</f>
        <v>853</v>
      </c>
      <c r="I428" s="418">
        <f>+'11'!O357</f>
        <v>1</v>
      </c>
      <c r="J428" s="418">
        <f>+'11'!P357</f>
        <v>3</v>
      </c>
      <c r="K428" s="523"/>
      <c r="L428" s="524"/>
      <c r="M428" s="361"/>
      <c r="N428" s="362"/>
      <c r="O428" s="365">
        <f>+'11'!U357</f>
        <v>1.5</v>
      </c>
      <c r="P428" s="438">
        <f>+'11'!AG357</f>
        <v>0</v>
      </c>
      <c r="Q428" s="436">
        <f t="shared" si="8"/>
        <v>0</v>
      </c>
    </row>
    <row r="429" spans="2:19" s="419" customFormat="1" ht="29.25" customHeight="1" thickBot="1" x14ac:dyDescent="0.25">
      <c r="B429" s="525" t="str">
        <f>+'11'!B595:M595</f>
        <v>Обеспечение деятельности органов местного самоуправления</v>
      </c>
      <c r="C429" s="525"/>
      <c r="D429" s="525"/>
      <c r="E429" s="525"/>
      <c r="F429" s="526"/>
      <c r="G429" s="420" t="str">
        <f>+'11'!Q595</f>
        <v>8900000000</v>
      </c>
      <c r="H429" s="421">
        <f>+'11'!R595</f>
        <v>0</v>
      </c>
      <c r="I429" s="425"/>
      <c r="J429" s="425"/>
      <c r="K429" s="527"/>
      <c r="L429" s="528"/>
      <c r="M429" s="422"/>
      <c r="N429" s="423"/>
      <c r="O429" s="424">
        <f>+O430+O435+O445+O449+O460+O479</f>
        <v>10020.677999999998</v>
      </c>
      <c r="P429" s="433">
        <f>+P430+P435+P445+P449+P460+P479</f>
        <v>2177.64392</v>
      </c>
      <c r="Q429" s="435">
        <f t="shared" si="8"/>
        <v>21.73150279851324</v>
      </c>
      <c r="R429" s="419">
        <f>+'[1]13'!$M$201</f>
        <v>10020.678</v>
      </c>
      <c r="S429" s="428">
        <f>+R429-O429</f>
        <v>0</v>
      </c>
    </row>
    <row r="430" spans="2:19" ht="13.5" thickBot="1" x14ac:dyDescent="0.25">
      <c r="B430" s="521" t="str">
        <f>+'11'!B596:M596</f>
        <v>Обеспечение деятельности органов местного самоуправления  (Расходы на выплаты персоналу в целях обеспечения выполнения функций муниципальными органами)</v>
      </c>
      <c r="C430" s="521"/>
      <c r="D430" s="521"/>
      <c r="E430" s="521"/>
      <c r="F430" s="522"/>
      <c r="G430" s="366" t="str">
        <f>+'11'!Q596</f>
        <v>8900000110</v>
      </c>
      <c r="H430" s="363">
        <f>+'11'!R596</f>
        <v>0</v>
      </c>
      <c r="I430" s="418">
        <f>+'11'!O596</f>
        <v>1</v>
      </c>
      <c r="J430" s="418">
        <f>+'11'!P596</f>
        <v>6</v>
      </c>
      <c r="K430" s="523"/>
      <c r="L430" s="524"/>
      <c r="M430" s="361"/>
      <c r="N430" s="362"/>
      <c r="O430" s="365">
        <f>+'11'!U596</f>
        <v>4116.5280000000002</v>
      </c>
      <c r="P430" s="438">
        <f>+'11'!AG596</f>
        <v>1015.86019</v>
      </c>
      <c r="Q430" s="436">
        <f t="shared" si="8"/>
        <v>24.677596994360293</v>
      </c>
    </row>
    <row r="431" spans="2:19" ht="13.5" thickBot="1" x14ac:dyDescent="0.25">
      <c r="B431" s="521" t="str">
        <f>+'11'!B597:M597</f>
        <v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v>
      </c>
      <c r="C431" s="521"/>
      <c r="D431" s="521"/>
      <c r="E431" s="521"/>
      <c r="F431" s="522"/>
      <c r="G431" s="366" t="str">
        <f>+'11'!Q597</f>
        <v>8900000110</v>
      </c>
      <c r="H431" s="363" t="str">
        <f>+'11'!R597</f>
        <v>100</v>
      </c>
      <c r="I431" s="418">
        <f>+'11'!O597</f>
        <v>1</v>
      </c>
      <c r="J431" s="418">
        <f>+'11'!P597</f>
        <v>6</v>
      </c>
      <c r="K431" s="523"/>
      <c r="L431" s="524"/>
      <c r="M431" s="361"/>
      <c r="N431" s="362"/>
      <c r="O431" s="365">
        <f>+'11'!U597</f>
        <v>4116.5280000000002</v>
      </c>
      <c r="P431" s="438">
        <f>+'11'!AG597</f>
        <v>1015.86019</v>
      </c>
      <c r="Q431" s="436">
        <f t="shared" si="8"/>
        <v>24.677596994360293</v>
      </c>
    </row>
    <row r="432" spans="2:19" ht="13.5" thickBot="1" x14ac:dyDescent="0.25">
      <c r="B432" s="521" t="str">
        <f>+'11'!B598:M598</f>
        <v>Расходы на выплаты персоналу государственных (муниципальных) органов</v>
      </c>
      <c r="C432" s="521"/>
      <c r="D432" s="521"/>
      <c r="E432" s="521"/>
      <c r="F432" s="522"/>
      <c r="G432" s="366" t="str">
        <f>+'11'!Q598</f>
        <v>8900000110</v>
      </c>
      <c r="H432" s="363" t="str">
        <f>+'11'!R598</f>
        <v>120</v>
      </c>
      <c r="I432" s="418">
        <f>+'11'!O598</f>
        <v>1</v>
      </c>
      <c r="J432" s="418">
        <f>+'11'!P598</f>
        <v>6</v>
      </c>
      <c r="K432" s="523"/>
      <c r="L432" s="524"/>
      <c r="M432" s="361"/>
      <c r="N432" s="362"/>
      <c r="O432" s="365">
        <f>+'11'!U598</f>
        <v>4116.5280000000002</v>
      </c>
      <c r="P432" s="438">
        <f>+'11'!AG598</f>
        <v>1015.86019</v>
      </c>
      <c r="Q432" s="436">
        <f t="shared" si="8"/>
        <v>24.677596994360293</v>
      </c>
    </row>
    <row r="433" spans="2:17" ht="13.5" thickBot="1" x14ac:dyDescent="0.25">
      <c r="B433" s="521" t="str">
        <f>+'11'!B599:M599</f>
        <v>Фонд оплаты труда государственных (муниципальных) органов</v>
      </c>
      <c r="C433" s="521"/>
      <c r="D433" s="521"/>
      <c r="E433" s="521"/>
      <c r="F433" s="522"/>
      <c r="G433" s="366" t="str">
        <f>+'11'!Q599</f>
        <v>8900000110</v>
      </c>
      <c r="H433" s="363" t="str">
        <f>+'11'!R599</f>
        <v>121</v>
      </c>
      <c r="I433" s="418">
        <f>+'11'!O599</f>
        <v>1</v>
      </c>
      <c r="J433" s="418">
        <f>+'11'!P599</f>
        <v>6</v>
      </c>
      <c r="K433" s="523"/>
      <c r="L433" s="524"/>
      <c r="M433" s="361"/>
      <c r="N433" s="362"/>
      <c r="O433" s="365">
        <f>+'11'!U599</f>
        <v>3161.7080000000001</v>
      </c>
      <c r="P433" s="438">
        <f>+'11'!AG599</f>
        <v>782.07388000000003</v>
      </c>
      <c r="Q433" s="436">
        <f t="shared" si="8"/>
        <v>24.735803559341978</v>
      </c>
    </row>
    <row r="434" spans="2:17" ht="13.5" thickBot="1" x14ac:dyDescent="0.25">
      <c r="B434" s="521" t="str">
        <f>+'11'!B600:M600</f>
        <v>Взносы по обязательному социальному страхованию на выплаты денежного содержания и иные выплаты работникам государственных (муниципальных) органов</v>
      </c>
      <c r="C434" s="521"/>
      <c r="D434" s="521"/>
      <c r="E434" s="521"/>
      <c r="F434" s="522"/>
      <c r="G434" s="366" t="str">
        <f>+'11'!Q600</f>
        <v>8900000110</v>
      </c>
      <c r="H434" s="363" t="str">
        <f>+'11'!R600</f>
        <v>129</v>
      </c>
      <c r="I434" s="418">
        <f>+'11'!O600</f>
        <v>1</v>
      </c>
      <c r="J434" s="418">
        <f>+'11'!P600</f>
        <v>6</v>
      </c>
      <c r="K434" s="523"/>
      <c r="L434" s="524"/>
      <c r="M434" s="361"/>
      <c r="N434" s="362"/>
      <c r="O434" s="365">
        <f>+'11'!U600</f>
        <v>954.82</v>
      </c>
      <c r="P434" s="438">
        <f>+'11'!AG600</f>
        <v>233.78630999999999</v>
      </c>
      <c r="Q434" s="436">
        <f t="shared" si="8"/>
        <v>24.484856831654131</v>
      </c>
    </row>
    <row r="435" spans="2:17" ht="13.5" thickBot="1" x14ac:dyDescent="0.25">
      <c r="B435" s="521" t="str">
        <f>+'11'!B601:M601</f>
        <v>Обеспечение деятельности органов местного самоуправления</v>
      </c>
      <c r="C435" s="521"/>
      <c r="D435" s="521"/>
      <c r="E435" s="521"/>
      <c r="F435" s="522"/>
      <c r="G435" s="366" t="str">
        <f>+'11'!Q601</f>
        <v>8900000190</v>
      </c>
      <c r="H435" s="363">
        <f>+'11'!R601</f>
        <v>0</v>
      </c>
      <c r="I435" s="418">
        <f>+'11'!O601</f>
        <v>1</v>
      </c>
      <c r="J435" s="418">
        <f>+'11'!P601</f>
        <v>6</v>
      </c>
      <c r="K435" s="523"/>
      <c r="L435" s="524"/>
      <c r="M435" s="361"/>
      <c r="N435" s="362"/>
      <c r="O435" s="365">
        <f>+'11'!U601</f>
        <v>2221.4</v>
      </c>
      <c r="P435" s="438">
        <f>+'11'!AG601</f>
        <v>192.54813000000001</v>
      </c>
      <c r="Q435" s="436">
        <f t="shared" si="8"/>
        <v>8.6678729629963094</v>
      </c>
    </row>
    <row r="436" spans="2:17" ht="13.5" thickBot="1" x14ac:dyDescent="0.25">
      <c r="B436" s="521" t="str">
        <f>+'11'!B602:M602</f>
        <v>Закупка товаров, работ и услуг для обеспечения государственных (муниципальных) нужд</v>
      </c>
      <c r="C436" s="521"/>
      <c r="D436" s="521"/>
      <c r="E436" s="521"/>
      <c r="F436" s="522"/>
      <c r="G436" s="366" t="str">
        <f>+'11'!Q602</f>
        <v>8900000190</v>
      </c>
      <c r="H436" s="363" t="str">
        <f>+'11'!R602</f>
        <v>200</v>
      </c>
      <c r="I436" s="418">
        <f>+'11'!O602</f>
        <v>1</v>
      </c>
      <c r="J436" s="418">
        <f>+'11'!P602</f>
        <v>6</v>
      </c>
      <c r="K436" s="523"/>
      <c r="L436" s="524"/>
      <c r="M436" s="361"/>
      <c r="N436" s="362"/>
      <c r="O436" s="365">
        <f>+'11'!U602</f>
        <v>2212.4</v>
      </c>
      <c r="P436" s="438">
        <f>+'11'!AG602</f>
        <v>192.36457000000001</v>
      </c>
      <c r="Q436" s="436">
        <f t="shared" si="8"/>
        <v>8.6948368287832221</v>
      </c>
    </row>
    <row r="437" spans="2:17" ht="13.5" thickBot="1" x14ac:dyDescent="0.25">
      <c r="B437" s="521" t="str">
        <f>+'11'!B603:M603</f>
        <v>Иные закупки товаров, работ и услуг для обеспечения государственных (муниципальных) нужд</v>
      </c>
      <c r="C437" s="521"/>
      <c r="D437" s="521"/>
      <c r="E437" s="521"/>
      <c r="F437" s="522"/>
      <c r="G437" s="366" t="str">
        <f>+'11'!Q603</f>
        <v>8900000190</v>
      </c>
      <c r="H437" s="363" t="str">
        <f>+'11'!R603</f>
        <v>240</v>
      </c>
      <c r="I437" s="418">
        <f>+'11'!O603</f>
        <v>1</v>
      </c>
      <c r="J437" s="418">
        <f>+'11'!P603</f>
        <v>6</v>
      </c>
      <c r="K437" s="523"/>
      <c r="L437" s="524"/>
      <c r="M437" s="361"/>
      <c r="N437" s="362"/>
      <c r="O437" s="365">
        <f>+'11'!U603</f>
        <v>2212.4</v>
      </c>
      <c r="P437" s="438">
        <f>+'11'!AG603</f>
        <v>192.36457000000001</v>
      </c>
      <c r="Q437" s="436">
        <f t="shared" si="8"/>
        <v>8.6948368287832221</v>
      </c>
    </row>
    <row r="438" spans="2:17" ht="13.5" thickBot="1" x14ac:dyDescent="0.25">
      <c r="B438" s="521" t="str">
        <f>+'11'!B604:M604</f>
        <v>Закупка товаров, работ, услуг в сфере информационно-коммуникационных технологий</v>
      </c>
      <c r="C438" s="521"/>
      <c r="D438" s="521"/>
      <c r="E438" s="521"/>
      <c r="F438" s="522"/>
      <c r="G438" s="366" t="str">
        <f>+'11'!Q604</f>
        <v>8900000190</v>
      </c>
      <c r="H438" s="363" t="str">
        <f>+'11'!R604</f>
        <v>242</v>
      </c>
      <c r="I438" s="418">
        <f>+'11'!O604</f>
        <v>1</v>
      </c>
      <c r="J438" s="418">
        <f>+'11'!P604</f>
        <v>6</v>
      </c>
      <c r="K438" s="523"/>
      <c r="L438" s="524"/>
      <c r="M438" s="361"/>
      <c r="N438" s="362"/>
      <c r="O438" s="365">
        <f>+'11'!U604</f>
        <v>567.20000000000005</v>
      </c>
      <c r="P438" s="438">
        <f>+'11'!AG604</f>
        <v>78.653880000000001</v>
      </c>
      <c r="Q438" s="436">
        <f t="shared" si="8"/>
        <v>13.867045133991537</v>
      </c>
    </row>
    <row r="439" spans="2:17" ht="13.5" thickBot="1" x14ac:dyDescent="0.25">
      <c r="B439" s="521" t="str">
        <f>+'11'!B605:M605</f>
        <v>Прочая закупка товаров, работ и услуг</v>
      </c>
      <c r="C439" s="521"/>
      <c r="D439" s="521"/>
      <c r="E439" s="521"/>
      <c r="F439" s="522"/>
      <c r="G439" s="366" t="str">
        <f>+'11'!Q605</f>
        <v>8900000190</v>
      </c>
      <c r="H439" s="363" t="str">
        <f>+'11'!R605</f>
        <v>244</v>
      </c>
      <c r="I439" s="418">
        <f>+'11'!O605</f>
        <v>1</v>
      </c>
      <c r="J439" s="418">
        <f>+'11'!P605</f>
        <v>6</v>
      </c>
      <c r="K439" s="523"/>
      <c r="L439" s="524"/>
      <c r="M439" s="361"/>
      <c r="N439" s="362"/>
      <c r="O439" s="365">
        <f>+'11'!U605</f>
        <v>1645.2</v>
      </c>
      <c r="P439" s="438">
        <f>+'11'!AG605</f>
        <v>113.71069</v>
      </c>
      <c r="Q439" s="436">
        <f t="shared" ref="Q439:Q459" si="9">P439/O439*100</f>
        <v>6.911663627522489</v>
      </c>
    </row>
    <row r="440" spans="2:17" ht="13.5" thickBot="1" x14ac:dyDescent="0.25">
      <c r="B440" s="521" t="str">
        <f>+'11'!B606:M606</f>
        <v>Иные бюджетные ассигнования</v>
      </c>
      <c r="C440" s="521"/>
      <c r="D440" s="521"/>
      <c r="E440" s="521"/>
      <c r="F440" s="522"/>
      <c r="G440" s="366" t="str">
        <f>+'11'!Q606</f>
        <v>8900000190</v>
      </c>
      <c r="H440" s="363" t="str">
        <f>+'11'!R606</f>
        <v>800</v>
      </c>
      <c r="I440" s="418">
        <f>+'11'!O606</f>
        <v>1</v>
      </c>
      <c r="J440" s="418">
        <f>+'11'!P606</f>
        <v>6</v>
      </c>
      <c r="K440" s="523"/>
      <c r="L440" s="524"/>
      <c r="M440" s="361"/>
      <c r="N440" s="362"/>
      <c r="O440" s="365">
        <f>+'11'!U606</f>
        <v>9</v>
      </c>
      <c r="P440" s="438">
        <f>+'11'!AG606</f>
        <v>0.18356</v>
      </c>
      <c r="Q440" s="436">
        <f t="shared" si="9"/>
        <v>2.0395555555555553</v>
      </c>
    </row>
    <row r="441" spans="2:17" ht="13.5" thickBot="1" x14ac:dyDescent="0.25">
      <c r="B441" s="521" t="str">
        <f>+'11'!B607:M607</f>
        <v>Уплата налогов, сборов и иных платежей</v>
      </c>
      <c r="C441" s="521"/>
      <c r="D441" s="521"/>
      <c r="E441" s="521"/>
      <c r="F441" s="522"/>
      <c r="G441" s="366" t="str">
        <f>+'11'!Q607</f>
        <v>8900000190</v>
      </c>
      <c r="H441" s="363" t="str">
        <f>+'11'!R607</f>
        <v>850</v>
      </c>
      <c r="I441" s="418">
        <f>+'11'!O607</f>
        <v>1</v>
      </c>
      <c r="J441" s="418">
        <f>+'11'!P607</f>
        <v>6</v>
      </c>
      <c r="K441" s="523"/>
      <c r="L441" s="524"/>
      <c r="M441" s="361"/>
      <c r="N441" s="362"/>
      <c r="O441" s="365">
        <f>+'11'!U607</f>
        <v>9</v>
      </c>
      <c r="P441" s="438">
        <f>+'11'!AG607</f>
        <v>0.18356</v>
      </c>
      <c r="Q441" s="436">
        <f t="shared" si="9"/>
        <v>2.0395555555555553</v>
      </c>
    </row>
    <row r="442" spans="2:17" ht="13.5" thickBot="1" x14ac:dyDescent="0.25">
      <c r="B442" s="521" t="str">
        <f>+'11'!B608:M608</f>
        <v>Уплата налога на имущество организаций и земельного налога</v>
      </c>
      <c r="C442" s="521"/>
      <c r="D442" s="521"/>
      <c r="E442" s="521"/>
      <c r="F442" s="522"/>
      <c r="G442" s="366" t="str">
        <f>+'11'!Q608</f>
        <v>8900000190</v>
      </c>
      <c r="H442" s="363" t="str">
        <f>+'11'!R608</f>
        <v>851</v>
      </c>
      <c r="I442" s="418">
        <f>+'11'!O608</f>
        <v>1</v>
      </c>
      <c r="J442" s="418">
        <f>+'11'!P608</f>
        <v>6</v>
      </c>
      <c r="K442" s="523"/>
      <c r="L442" s="524"/>
      <c r="M442" s="361"/>
      <c r="N442" s="362"/>
      <c r="O442" s="365">
        <f>+'11'!U608</f>
        <v>5</v>
      </c>
      <c r="P442" s="438">
        <f>+'11'!AG608</f>
        <v>0</v>
      </c>
      <c r="Q442" s="436">
        <f t="shared" si="9"/>
        <v>0</v>
      </c>
    </row>
    <row r="443" spans="2:17" ht="13.5" thickBot="1" x14ac:dyDescent="0.25">
      <c r="B443" s="521" t="str">
        <f>+'11'!B609:M609</f>
        <v>Уплата прочих налогов, сборов</v>
      </c>
      <c r="C443" s="521"/>
      <c r="D443" s="521"/>
      <c r="E443" s="521"/>
      <c r="F443" s="522"/>
      <c r="G443" s="366" t="str">
        <f>+'11'!Q609</f>
        <v>8900000190</v>
      </c>
      <c r="H443" s="363" t="str">
        <f>+'11'!R609</f>
        <v>852</v>
      </c>
      <c r="I443" s="418">
        <f>+'11'!O609</f>
        <v>1</v>
      </c>
      <c r="J443" s="418">
        <f>+'11'!P609</f>
        <v>6</v>
      </c>
      <c r="K443" s="523"/>
      <c r="L443" s="524"/>
      <c r="M443" s="361"/>
      <c r="N443" s="362"/>
      <c r="O443" s="365">
        <f>+'11'!U609</f>
        <v>3</v>
      </c>
      <c r="P443" s="438">
        <f>+'11'!AG609</f>
        <v>0.18356</v>
      </c>
      <c r="Q443" s="436">
        <f t="shared" si="9"/>
        <v>6.1186666666666669</v>
      </c>
    </row>
    <row r="444" spans="2:17" ht="13.5" thickBot="1" x14ac:dyDescent="0.25">
      <c r="B444" s="521" t="str">
        <f>+'11'!B610:M610</f>
        <v>Уплата иных платежей</v>
      </c>
      <c r="C444" s="521"/>
      <c r="D444" s="521"/>
      <c r="E444" s="521"/>
      <c r="F444" s="522"/>
      <c r="G444" s="366" t="str">
        <f>+'11'!Q610</f>
        <v>8900000190</v>
      </c>
      <c r="H444" s="363" t="str">
        <f>+'11'!R610</f>
        <v>853</v>
      </c>
      <c r="I444" s="418">
        <f>+'11'!O610</f>
        <v>1</v>
      </c>
      <c r="J444" s="418">
        <f>+'11'!P610</f>
        <v>6</v>
      </c>
      <c r="K444" s="523"/>
      <c r="L444" s="524"/>
      <c r="M444" s="361"/>
      <c r="N444" s="362"/>
      <c r="O444" s="365">
        <f>+'11'!U610</f>
        <v>1</v>
      </c>
      <c r="P444" s="438">
        <f>+'11'!AG610</f>
        <v>0</v>
      </c>
      <c r="Q444" s="436">
        <f t="shared" si="9"/>
        <v>0</v>
      </c>
    </row>
    <row r="445" spans="2:17" ht="13.5" thickBot="1" x14ac:dyDescent="0.25">
      <c r="B445" s="521" t="str">
        <f>+'11'!B611:M611</f>
        <v>Обеспечение деятельности органов местного самоуправления (Иные выплаты персоналу муниципальных органов, за исключением фонда оплаты труда)</v>
      </c>
      <c r="C445" s="521"/>
      <c r="D445" s="521"/>
      <c r="E445" s="521"/>
      <c r="F445" s="522"/>
      <c r="G445" s="366" t="str">
        <f>+'11'!Q611</f>
        <v>8900000870</v>
      </c>
      <c r="H445" s="363">
        <f>+'11'!R611</f>
        <v>0</v>
      </c>
      <c r="I445" s="418">
        <f>+'11'!O611</f>
        <v>1</v>
      </c>
      <c r="J445" s="418">
        <f>+'11'!P611</f>
        <v>6</v>
      </c>
      <c r="K445" s="523"/>
      <c r="L445" s="524"/>
      <c r="M445" s="361"/>
      <c r="N445" s="362"/>
      <c r="O445" s="365">
        <f>+'11'!U611</f>
        <v>158.9</v>
      </c>
      <c r="P445" s="438">
        <f>+'11'!AG611</f>
        <v>10.6</v>
      </c>
      <c r="Q445" s="436">
        <f t="shared" si="9"/>
        <v>6.6708621774701067</v>
      </c>
    </row>
    <row r="446" spans="2:17" ht="13.5" thickBot="1" x14ac:dyDescent="0.25">
      <c r="B446" s="521" t="str">
        <f>+'11'!B612:M612</f>
        <v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v>
      </c>
      <c r="C446" s="521"/>
      <c r="D446" s="521"/>
      <c r="E446" s="521"/>
      <c r="F446" s="522"/>
      <c r="G446" s="366" t="str">
        <f>+'11'!Q612</f>
        <v>8900000870</v>
      </c>
      <c r="H446" s="363" t="str">
        <f>+'11'!R612</f>
        <v>100</v>
      </c>
      <c r="I446" s="418">
        <f>+'11'!O612</f>
        <v>1</v>
      </c>
      <c r="J446" s="418">
        <f>+'11'!P612</f>
        <v>6</v>
      </c>
      <c r="K446" s="523"/>
      <c r="L446" s="524"/>
      <c r="M446" s="361"/>
      <c r="N446" s="362"/>
      <c r="O446" s="365">
        <f>+'11'!U612</f>
        <v>158.9</v>
      </c>
      <c r="P446" s="438">
        <f>+'11'!AG612</f>
        <v>10.6</v>
      </c>
      <c r="Q446" s="436">
        <f t="shared" si="9"/>
        <v>6.6708621774701067</v>
      </c>
    </row>
    <row r="447" spans="2:17" ht="13.5" thickBot="1" x14ac:dyDescent="0.25">
      <c r="B447" s="521" t="str">
        <f>+'11'!B613:M613</f>
        <v>Расходы на выплаты персоналу государственных (муниципальных) органов</v>
      </c>
      <c r="C447" s="521"/>
      <c r="D447" s="521"/>
      <c r="E447" s="521"/>
      <c r="F447" s="522"/>
      <c r="G447" s="366" t="str">
        <f>+'11'!Q613</f>
        <v>8900000870</v>
      </c>
      <c r="H447" s="363" t="str">
        <f>+'11'!R613</f>
        <v>120</v>
      </c>
      <c r="I447" s="418">
        <f>+'11'!O613</f>
        <v>1</v>
      </c>
      <c r="J447" s="418">
        <f>+'11'!P613</f>
        <v>6</v>
      </c>
      <c r="K447" s="523"/>
      <c r="L447" s="524"/>
      <c r="M447" s="361"/>
      <c r="N447" s="362"/>
      <c r="O447" s="365">
        <f>+'11'!U613</f>
        <v>158.9</v>
      </c>
      <c r="P447" s="438">
        <f>+'11'!AG613</f>
        <v>10.6</v>
      </c>
      <c r="Q447" s="436">
        <f t="shared" si="9"/>
        <v>6.6708621774701067</v>
      </c>
    </row>
    <row r="448" spans="2:17" ht="13.5" thickBot="1" x14ac:dyDescent="0.25">
      <c r="B448" s="521" t="str">
        <f>+'11'!B614:M614</f>
        <v>Иные выплаты персоналу государственных (муниципальных) органов, за исключением фонда оплаты труда</v>
      </c>
      <c r="C448" s="521"/>
      <c r="D448" s="521"/>
      <c r="E448" s="521"/>
      <c r="F448" s="522"/>
      <c r="G448" s="366" t="str">
        <f>+'11'!Q614</f>
        <v>8900000870</v>
      </c>
      <c r="H448" s="363" t="str">
        <f>+'11'!R614</f>
        <v>122</v>
      </c>
      <c r="I448" s="418">
        <f>+'11'!O614</f>
        <v>1</v>
      </c>
      <c r="J448" s="418">
        <f>+'11'!P614</f>
        <v>6</v>
      </c>
      <c r="K448" s="523"/>
      <c r="L448" s="524"/>
      <c r="M448" s="361"/>
      <c r="N448" s="362"/>
      <c r="O448" s="365">
        <f>+'11'!U614</f>
        <v>158.9</v>
      </c>
      <c r="P448" s="438">
        <f>+'11'!AG614</f>
        <v>10.6</v>
      </c>
      <c r="Q448" s="436">
        <f t="shared" si="9"/>
        <v>6.6708621774701067</v>
      </c>
    </row>
    <row r="449" spans="2:17" ht="13.5" thickBot="1" x14ac:dyDescent="0.25">
      <c r="B449" s="521" t="str">
        <f>+'11'!B615:M615</f>
        <v>Другие общегосударственные вопросы</v>
      </c>
      <c r="C449" s="521"/>
      <c r="D449" s="521"/>
      <c r="E449" s="521"/>
      <c r="F449" s="522"/>
      <c r="G449" s="366">
        <f>+'11'!Q615</f>
        <v>0</v>
      </c>
      <c r="H449" s="363">
        <f>+'11'!R615</f>
        <v>0</v>
      </c>
      <c r="I449" s="418">
        <f>+'11'!O615</f>
        <v>1</v>
      </c>
      <c r="J449" s="418">
        <f>+'11'!P615</f>
        <v>13</v>
      </c>
      <c r="K449" s="523"/>
      <c r="L449" s="524"/>
      <c r="M449" s="361"/>
      <c r="N449" s="362"/>
      <c r="O449" s="365">
        <f>+O450</f>
        <v>380.22199999999998</v>
      </c>
      <c r="P449" s="434">
        <f>+P450</f>
        <v>91.034320000000008</v>
      </c>
      <c r="Q449" s="436">
        <f t="shared" si="9"/>
        <v>23.942412590539213</v>
      </c>
    </row>
    <row r="450" spans="2:17" ht="13.5" thickBot="1" x14ac:dyDescent="0.25">
      <c r="B450" s="521" t="str">
        <f>+'11'!B616:M616</f>
        <v>Обеспечение деятельности органов местного самоуправления</v>
      </c>
      <c r="C450" s="521"/>
      <c r="D450" s="521"/>
      <c r="E450" s="521"/>
      <c r="F450" s="522"/>
      <c r="G450" s="366" t="str">
        <f>+'11'!Q616</f>
        <v>8900000000</v>
      </c>
      <c r="H450" s="363">
        <f>+'11'!R616</f>
        <v>0</v>
      </c>
      <c r="I450" s="418">
        <f>+'11'!O616</f>
        <v>1</v>
      </c>
      <c r="J450" s="418">
        <f>+'11'!P616</f>
        <v>13</v>
      </c>
      <c r="K450" s="523"/>
      <c r="L450" s="524"/>
      <c r="M450" s="361"/>
      <c r="N450" s="362"/>
      <c r="O450" s="365">
        <f>+'11'!U616</f>
        <v>380.22199999999998</v>
      </c>
      <c r="P450" s="438">
        <f>+'11'!AG616</f>
        <v>91.034320000000008</v>
      </c>
      <c r="Q450" s="436">
        <f t="shared" si="9"/>
        <v>23.942412590539213</v>
      </c>
    </row>
    <row r="451" spans="2:17" ht="13.5" thickBot="1" x14ac:dyDescent="0.25">
      <c r="B451" s="521" t="str">
        <f>+'11'!B617:M617</f>
        <v>Обеспечение хозяйственного обслуживания в целях функционированияорганов местного самоуправления</v>
      </c>
      <c r="C451" s="521"/>
      <c r="D451" s="521"/>
      <c r="E451" s="521"/>
      <c r="F451" s="522"/>
      <c r="G451" s="366" t="str">
        <f>+'11'!Q617</f>
        <v>8900000140</v>
      </c>
      <c r="H451" s="363">
        <f>+'11'!R617</f>
        <v>0</v>
      </c>
      <c r="I451" s="418">
        <f>+'11'!O617</f>
        <v>1</v>
      </c>
      <c r="J451" s="418">
        <f>+'11'!P617</f>
        <v>13</v>
      </c>
      <c r="K451" s="523"/>
      <c r="L451" s="524"/>
      <c r="M451" s="361"/>
      <c r="N451" s="362"/>
      <c r="O451" s="365">
        <f>+'11'!U617</f>
        <v>377.22199999999998</v>
      </c>
      <c r="P451" s="438">
        <f>+'11'!AG617</f>
        <v>90.486320000000006</v>
      </c>
      <c r="Q451" s="436">
        <f t="shared" si="9"/>
        <v>23.987551097231872</v>
      </c>
    </row>
    <row r="452" spans="2:17" ht="13.5" thickBot="1" x14ac:dyDescent="0.25">
      <c r="B452" s="521" t="str">
        <f>+'11'!B618:M618</f>
        <v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v>
      </c>
      <c r="C452" s="521"/>
      <c r="D452" s="521"/>
      <c r="E452" s="521"/>
      <c r="F452" s="522"/>
      <c r="G452" s="366" t="str">
        <f>+'11'!Q618</f>
        <v>8900000140</v>
      </c>
      <c r="H452" s="363" t="str">
        <f>+'11'!R618</f>
        <v>100</v>
      </c>
      <c r="I452" s="418">
        <f>+'11'!O618</f>
        <v>1</v>
      </c>
      <c r="J452" s="418">
        <f>+'11'!P618</f>
        <v>13</v>
      </c>
      <c r="K452" s="523"/>
      <c r="L452" s="524"/>
      <c r="M452" s="361"/>
      <c r="N452" s="362"/>
      <c r="O452" s="365">
        <f>+'11'!U618</f>
        <v>377.22199999999998</v>
      </c>
      <c r="P452" s="438">
        <f>+'11'!AG618</f>
        <v>90.486320000000006</v>
      </c>
      <c r="Q452" s="436">
        <f t="shared" si="9"/>
        <v>23.987551097231872</v>
      </c>
    </row>
    <row r="453" spans="2:17" ht="13.5" thickBot="1" x14ac:dyDescent="0.25">
      <c r="B453" s="521" t="str">
        <f>+'11'!B619:M619</f>
        <v>Расходы на выплаты персоналу государственных (муниципальных) органов</v>
      </c>
      <c r="C453" s="521"/>
      <c r="D453" s="521"/>
      <c r="E453" s="521"/>
      <c r="F453" s="522"/>
      <c r="G453" s="366" t="str">
        <f>+'11'!Q619</f>
        <v>8900000140</v>
      </c>
      <c r="H453" s="363" t="str">
        <f>+'11'!R619</f>
        <v>120</v>
      </c>
      <c r="I453" s="418">
        <f>+'11'!O619</f>
        <v>1</v>
      </c>
      <c r="J453" s="418">
        <f>+'11'!P619</f>
        <v>13</v>
      </c>
      <c r="K453" s="523"/>
      <c r="L453" s="524"/>
      <c r="M453" s="361"/>
      <c r="N453" s="362"/>
      <c r="O453" s="365">
        <f>+'11'!U619</f>
        <v>377.22199999999998</v>
      </c>
      <c r="P453" s="438">
        <f>+'11'!AG619</f>
        <v>90.486320000000006</v>
      </c>
      <c r="Q453" s="436">
        <f t="shared" si="9"/>
        <v>23.987551097231872</v>
      </c>
    </row>
    <row r="454" spans="2:17" ht="13.5" thickBot="1" x14ac:dyDescent="0.25">
      <c r="B454" s="521" t="str">
        <f>+'11'!B620:M620</f>
        <v>Фонд оплаты труда государственных (муниципальных) органов</v>
      </c>
      <c r="C454" s="521"/>
      <c r="D454" s="521"/>
      <c r="E454" s="521"/>
      <c r="F454" s="522"/>
      <c r="G454" s="366" t="str">
        <f>+'11'!Q620</f>
        <v>8900000140</v>
      </c>
      <c r="H454" s="363" t="str">
        <f>+'11'!R620</f>
        <v>121</v>
      </c>
      <c r="I454" s="418">
        <f>+'11'!O620</f>
        <v>1</v>
      </c>
      <c r="J454" s="418">
        <f>+'11'!P620</f>
        <v>13</v>
      </c>
      <c r="K454" s="523"/>
      <c r="L454" s="524"/>
      <c r="M454" s="361"/>
      <c r="N454" s="362"/>
      <c r="O454" s="365">
        <f>+'11'!U620</f>
        <v>289.72500000000002</v>
      </c>
      <c r="P454" s="438">
        <f>+'11'!AG620</f>
        <v>69.49794</v>
      </c>
      <c r="Q454" s="436">
        <f t="shared" si="9"/>
        <v>23.987553714729483</v>
      </c>
    </row>
    <row r="455" spans="2:17" ht="13.5" thickBot="1" x14ac:dyDescent="0.25">
      <c r="B455" s="521" t="str">
        <f>+'11'!B621:M621</f>
        <v>Взносы по обязательному социальному страхованию на выплаты денежного содержания и иные выплаты работникам государственных (муниципальных) органов</v>
      </c>
      <c r="C455" s="521"/>
      <c r="D455" s="521"/>
      <c r="E455" s="521"/>
      <c r="F455" s="522"/>
      <c r="G455" s="366" t="str">
        <f>+'11'!Q621</f>
        <v>8900000140</v>
      </c>
      <c r="H455" s="363" t="str">
        <f>+'11'!R621</f>
        <v>129</v>
      </c>
      <c r="I455" s="418">
        <f>+'11'!O621</f>
        <v>1</v>
      </c>
      <c r="J455" s="418">
        <f>+'11'!P621</f>
        <v>13</v>
      </c>
      <c r="K455" s="523"/>
      <c r="L455" s="524"/>
      <c r="M455" s="361"/>
      <c r="N455" s="362"/>
      <c r="O455" s="365">
        <f>+'11'!U621</f>
        <v>87.497</v>
      </c>
      <c r="P455" s="438">
        <f>+'11'!AG621</f>
        <v>20.988379999999999</v>
      </c>
      <c r="Q455" s="436">
        <f t="shared" si="9"/>
        <v>23.987542430026171</v>
      </c>
    </row>
    <row r="456" spans="2:17" ht="13.5" thickBot="1" x14ac:dyDescent="0.25">
      <c r="B456" s="521" t="str">
        <f>+'11'!B622:M622</f>
        <v>Обеспечение деятельности органов местного самоуправления (Иные выплаты персоналу муниципальных органов, за исключением фонда оплаты труда)</v>
      </c>
      <c r="C456" s="521"/>
      <c r="D456" s="521"/>
      <c r="E456" s="521"/>
      <c r="F456" s="522"/>
      <c r="G456" s="366" t="str">
        <f>+'11'!Q622</f>
        <v>8900000870</v>
      </c>
      <c r="H456" s="363">
        <f>+'11'!R622</f>
        <v>0</v>
      </c>
      <c r="I456" s="418">
        <f>+'11'!O622</f>
        <v>1</v>
      </c>
      <c r="J456" s="418">
        <f>+'11'!P622</f>
        <v>13</v>
      </c>
      <c r="K456" s="523"/>
      <c r="L456" s="524"/>
      <c r="M456" s="361"/>
      <c r="N456" s="362"/>
      <c r="O456" s="365">
        <f>+'11'!U622</f>
        <v>3</v>
      </c>
      <c r="P456" s="438">
        <f>+'11'!AG622</f>
        <v>0.54800000000000004</v>
      </c>
      <c r="Q456" s="436">
        <f t="shared" si="9"/>
        <v>18.266666666666666</v>
      </c>
    </row>
    <row r="457" spans="2:17" ht="13.5" thickBot="1" x14ac:dyDescent="0.25">
      <c r="B457" s="521" t="str">
        <f>+'11'!B623:M623</f>
        <v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v>
      </c>
      <c r="C457" s="521"/>
      <c r="D457" s="521"/>
      <c r="E457" s="521"/>
      <c r="F457" s="522"/>
      <c r="G457" s="366" t="str">
        <f>+'11'!Q623</f>
        <v>8900000870</v>
      </c>
      <c r="H457" s="363" t="str">
        <f>+'11'!R623</f>
        <v>100</v>
      </c>
      <c r="I457" s="418">
        <f>+'11'!O623</f>
        <v>1</v>
      </c>
      <c r="J457" s="418">
        <f>+'11'!P623</f>
        <v>13</v>
      </c>
      <c r="K457" s="523"/>
      <c r="L457" s="524"/>
      <c r="M457" s="361"/>
      <c r="N457" s="362"/>
      <c r="O457" s="365">
        <f>+'11'!U623</f>
        <v>3</v>
      </c>
      <c r="P457" s="438">
        <f>+'11'!AG623</f>
        <v>0.54800000000000004</v>
      </c>
      <c r="Q457" s="436">
        <f t="shared" si="9"/>
        <v>18.266666666666666</v>
      </c>
    </row>
    <row r="458" spans="2:17" ht="13.5" thickBot="1" x14ac:dyDescent="0.25">
      <c r="B458" s="521" t="str">
        <f>+'11'!B624:M624</f>
        <v>Расходы на выплаты персоналу государственных (муниципальных) органов</v>
      </c>
      <c r="C458" s="521"/>
      <c r="D458" s="521"/>
      <c r="E458" s="521"/>
      <c r="F458" s="522"/>
      <c r="G458" s="366" t="str">
        <f>+'11'!Q624</f>
        <v>8900000870</v>
      </c>
      <c r="H458" s="363" t="str">
        <f>+'11'!R624</f>
        <v>120</v>
      </c>
      <c r="I458" s="418">
        <f>+'11'!O624</f>
        <v>1</v>
      </c>
      <c r="J458" s="418">
        <f>+'11'!P624</f>
        <v>13</v>
      </c>
      <c r="K458" s="523"/>
      <c r="L458" s="524"/>
      <c r="M458" s="361"/>
      <c r="N458" s="362"/>
      <c r="O458" s="365">
        <f>+'11'!U624</f>
        <v>3</v>
      </c>
      <c r="P458" s="438">
        <f>+'11'!AG624</f>
        <v>0.54800000000000004</v>
      </c>
      <c r="Q458" s="436">
        <f t="shared" si="9"/>
        <v>18.266666666666666</v>
      </c>
    </row>
    <row r="459" spans="2:17" ht="13.5" thickBot="1" x14ac:dyDescent="0.25">
      <c r="B459" s="521" t="str">
        <f>+'11'!B625:M625</f>
        <v>Иные выплаты персоналу государственных (муниципальных) органов, за исключением фонда оплаты труда</v>
      </c>
      <c r="C459" s="521"/>
      <c r="D459" s="521"/>
      <c r="E459" s="521"/>
      <c r="F459" s="522"/>
      <c r="G459" s="366" t="str">
        <f>+'11'!Q625</f>
        <v>8900000870</v>
      </c>
      <c r="H459" s="363" t="str">
        <f>+'11'!R625</f>
        <v>122</v>
      </c>
      <c r="I459" s="418">
        <f>+'11'!O625</f>
        <v>1</v>
      </c>
      <c r="J459" s="418">
        <f>+'11'!P625</f>
        <v>13</v>
      </c>
      <c r="K459" s="523"/>
      <c r="L459" s="524"/>
      <c r="M459" s="361"/>
      <c r="N459" s="362"/>
      <c r="O459" s="365">
        <f>+'11'!U625</f>
        <v>3</v>
      </c>
      <c r="P459" s="438">
        <f>+'11'!AG625</f>
        <v>0.54800000000000004</v>
      </c>
      <c r="Q459" s="436">
        <f t="shared" si="9"/>
        <v>18.266666666666666</v>
      </c>
    </row>
    <row r="460" spans="2:17" ht="13.5" thickBot="1" x14ac:dyDescent="0.25">
      <c r="B460" s="521" t="str">
        <f>+'11'!B216:M216</f>
        <v>Обеспечение деятельности органов местного самоуправления</v>
      </c>
      <c r="C460" s="521"/>
      <c r="D460" s="521"/>
      <c r="E460" s="521"/>
      <c r="F460" s="522"/>
      <c r="G460" s="366" t="str">
        <f>+'11'!Q216</f>
        <v>8900000000</v>
      </c>
      <c r="H460" s="363">
        <f>+'11'!R216</f>
        <v>0</v>
      </c>
      <c r="I460" s="418">
        <f>+'11'!O216</f>
        <v>4</v>
      </c>
      <c r="J460" s="418">
        <f>+'11'!P216</f>
        <v>5</v>
      </c>
      <c r="K460" s="523"/>
      <c r="L460" s="524"/>
      <c r="M460" s="361"/>
      <c r="N460" s="362"/>
      <c r="O460" s="365">
        <f>+'11'!U216</f>
        <v>2766.4059999999999</v>
      </c>
      <c r="P460" s="434">
        <f>+'11'!AG216</f>
        <v>777.11496</v>
      </c>
      <c r="Q460" s="436">
        <f t="shared" ref="Q460:Q516" si="10">P460/O460*100</f>
        <v>28.091139189258556</v>
      </c>
    </row>
    <row r="461" spans="2:17" ht="13.5" thickBot="1" x14ac:dyDescent="0.25">
      <c r="B461" s="521" t="str">
        <f>+'11'!B217:M217</f>
        <v>Обеспечение деятельности органов местного самоуправления  (Расходы на выплаты персоналу в целях обеспечения выполнения функций муниципальными органами)</v>
      </c>
      <c r="C461" s="521"/>
      <c r="D461" s="521"/>
      <c r="E461" s="521"/>
      <c r="F461" s="522"/>
      <c r="G461" s="366" t="str">
        <f>+'11'!Q217</f>
        <v>8900000110</v>
      </c>
      <c r="H461" s="363">
        <f>+'11'!R217</f>
        <v>0</v>
      </c>
      <c r="I461" s="418">
        <f>+'11'!O217</f>
        <v>4</v>
      </c>
      <c r="J461" s="418">
        <f>+'11'!P217</f>
        <v>5</v>
      </c>
      <c r="K461" s="523"/>
      <c r="L461" s="524"/>
      <c r="M461" s="361"/>
      <c r="N461" s="362"/>
      <c r="O461" s="365">
        <f>+'11'!U217</f>
        <v>2224.7429999999999</v>
      </c>
      <c r="P461" s="434">
        <f>+'11'!AG217</f>
        <v>678.43030999999996</v>
      </c>
      <c r="Q461" s="436">
        <f t="shared" si="10"/>
        <v>30.49477220514909</v>
      </c>
    </row>
    <row r="462" spans="2:17" ht="13.5" thickBot="1" x14ac:dyDescent="0.25">
      <c r="B462" s="521" t="str">
        <f>+'11'!B218:M218</f>
        <v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v>
      </c>
      <c r="C462" s="521"/>
      <c r="D462" s="521"/>
      <c r="E462" s="521"/>
      <c r="F462" s="522"/>
      <c r="G462" s="366" t="str">
        <f>+'11'!Q218</f>
        <v>8900000110</v>
      </c>
      <c r="H462" s="363" t="str">
        <f>+'11'!R218</f>
        <v>100</v>
      </c>
      <c r="I462" s="418">
        <f>+'11'!O218</f>
        <v>4</v>
      </c>
      <c r="J462" s="418">
        <f>+'11'!P218</f>
        <v>5</v>
      </c>
      <c r="K462" s="523"/>
      <c r="L462" s="524"/>
      <c r="M462" s="361"/>
      <c r="N462" s="362"/>
      <c r="O462" s="365">
        <f>+'11'!U218</f>
        <v>2224.7429999999999</v>
      </c>
      <c r="P462" s="434">
        <f>+'11'!AG218</f>
        <v>678.43030999999996</v>
      </c>
      <c r="Q462" s="436">
        <f t="shared" si="10"/>
        <v>30.49477220514909</v>
      </c>
    </row>
    <row r="463" spans="2:17" ht="13.5" thickBot="1" x14ac:dyDescent="0.25">
      <c r="B463" s="521" t="str">
        <f>+'11'!B219:M219</f>
        <v>Расходы на выплаты персоналу государственных (муниципальных) органов</v>
      </c>
      <c r="C463" s="521"/>
      <c r="D463" s="521"/>
      <c r="E463" s="521"/>
      <c r="F463" s="522"/>
      <c r="G463" s="366" t="str">
        <f>+'11'!Q219</f>
        <v>8900000110</v>
      </c>
      <c r="H463" s="363" t="str">
        <f>+'11'!R219</f>
        <v>120</v>
      </c>
      <c r="I463" s="418">
        <f>+'11'!O219</f>
        <v>4</v>
      </c>
      <c r="J463" s="418">
        <f>+'11'!P219</f>
        <v>5</v>
      </c>
      <c r="K463" s="523"/>
      <c r="L463" s="524"/>
      <c r="M463" s="361"/>
      <c r="N463" s="362"/>
      <c r="O463" s="365">
        <f>+'11'!U219</f>
        <v>2224.7429999999999</v>
      </c>
      <c r="P463" s="434">
        <f>+'11'!AG219</f>
        <v>678.43030999999996</v>
      </c>
      <c r="Q463" s="436">
        <f t="shared" si="10"/>
        <v>30.49477220514909</v>
      </c>
    </row>
    <row r="464" spans="2:17" ht="13.5" thickBot="1" x14ac:dyDescent="0.25">
      <c r="B464" s="521" t="str">
        <f>+'11'!B220:M220</f>
        <v>Фонд оплаты труда государственных (муниципальных) органов</v>
      </c>
      <c r="C464" s="521"/>
      <c r="D464" s="521"/>
      <c r="E464" s="521"/>
      <c r="F464" s="522"/>
      <c r="G464" s="366" t="str">
        <f>+'11'!Q220</f>
        <v>8900000110</v>
      </c>
      <c r="H464" s="363" t="str">
        <f>+'11'!R220</f>
        <v>121</v>
      </c>
      <c r="I464" s="418">
        <f>+'11'!O220</f>
        <v>4</v>
      </c>
      <c r="J464" s="418">
        <f>+'11'!P220</f>
        <v>5</v>
      </c>
      <c r="K464" s="523"/>
      <c r="L464" s="524"/>
      <c r="M464" s="361"/>
      <c r="N464" s="362"/>
      <c r="O464" s="365">
        <f>+'11'!U220</f>
        <v>1708.712</v>
      </c>
      <c r="P464" s="434">
        <f>+'11'!AG220</f>
        <v>521.06782999999996</v>
      </c>
      <c r="Q464" s="436">
        <f t="shared" si="10"/>
        <v>30.494772085641113</v>
      </c>
    </row>
    <row r="465" spans="2:17" ht="13.5" thickBot="1" x14ac:dyDescent="0.25">
      <c r="B465" s="521" t="str">
        <f>+'11'!B221:M221</f>
        <v>Взносы по обязательному социальному страхованию на выплаты денежного содержания и иные выплаты работникам государственных (муниципальных) органов</v>
      </c>
      <c r="C465" s="521"/>
      <c r="D465" s="521"/>
      <c r="E465" s="521"/>
      <c r="F465" s="522"/>
      <c r="G465" s="366" t="str">
        <f>+'11'!Q221</f>
        <v>8900000110</v>
      </c>
      <c r="H465" s="363" t="str">
        <f>+'11'!R221</f>
        <v>129</v>
      </c>
      <c r="I465" s="418">
        <f>+'11'!O221</f>
        <v>4</v>
      </c>
      <c r="J465" s="418">
        <f>+'11'!P221</f>
        <v>5</v>
      </c>
      <c r="K465" s="523"/>
      <c r="L465" s="524"/>
      <c r="M465" s="361"/>
      <c r="N465" s="362"/>
      <c r="O465" s="365">
        <f>+'11'!U221</f>
        <v>516.03099999999995</v>
      </c>
      <c r="P465" s="434">
        <f>+'11'!AG221</f>
        <v>157.36248000000001</v>
      </c>
      <c r="Q465" s="436">
        <f t="shared" si="10"/>
        <v>30.494772600870885</v>
      </c>
    </row>
    <row r="466" spans="2:17" ht="13.5" thickBot="1" x14ac:dyDescent="0.25">
      <c r="B466" s="521" t="str">
        <f>+'11'!B222:M222</f>
        <v>Обеспечение деятельности органов местного самоуправления</v>
      </c>
      <c r="C466" s="521"/>
      <c r="D466" s="521"/>
      <c r="E466" s="521"/>
      <c r="F466" s="522"/>
      <c r="G466" s="366" t="str">
        <f>+'11'!Q222</f>
        <v>8900000190</v>
      </c>
      <c r="H466" s="363">
        <f>+'11'!R222</f>
        <v>0</v>
      </c>
      <c r="I466" s="418">
        <f>+'11'!O222</f>
        <v>4</v>
      </c>
      <c r="J466" s="418">
        <f>+'11'!P222</f>
        <v>5</v>
      </c>
      <c r="K466" s="523"/>
      <c r="L466" s="524"/>
      <c r="M466" s="361"/>
      <c r="N466" s="362"/>
      <c r="O466" s="365">
        <f>+'11'!U222</f>
        <v>520.48699999999997</v>
      </c>
      <c r="P466" s="434">
        <f>+'11'!AG222</f>
        <v>98.684650000000005</v>
      </c>
      <c r="Q466" s="436">
        <f t="shared" si="10"/>
        <v>18.96006048181799</v>
      </c>
    </row>
    <row r="467" spans="2:17" ht="13.5" thickBot="1" x14ac:dyDescent="0.25">
      <c r="B467" s="521" t="str">
        <f>+'11'!B223:M223</f>
        <v>Закупка товаров, работ и услуг для обеспечения государственных (муниципальных) нужд</v>
      </c>
      <c r="C467" s="521"/>
      <c r="D467" s="521"/>
      <c r="E467" s="521"/>
      <c r="F467" s="522"/>
      <c r="G467" s="366" t="str">
        <f>+'11'!Q223</f>
        <v>8900000190</v>
      </c>
      <c r="H467" s="363" t="str">
        <f>+'11'!R223</f>
        <v>200</v>
      </c>
      <c r="I467" s="418">
        <f>+'11'!O223</f>
        <v>4</v>
      </c>
      <c r="J467" s="418">
        <f>+'11'!P223</f>
        <v>5</v>
      </c>
      <c r="K467" s="523"/>
      <c r="L467" s="524"/>
      <c r="M467" s="361"/>
      <c r="N467" s="362"/>
      <c r="O467" s="365">
        <f>+'11'!U223</f>
        <v>502.24700000000001</v>
      </c>
      <c r="P467" s="434">
        <f>+'11'!AG223</f>
        <v>94.475650000000002</v>
      </c>
      <c r="Q467" s="436">
        <f t="shared" si="10"/>
        <v>18.810595185237542</v>
      </c>
    </row>
    <row r="468" spans="2:17" ht="13.5" thickBot="1" x14ac:dyDescent="0.25">
      <c r="B468" s="521" t="str">
        <f>+'11'!B224:M224</f>
        <v>Иные закупки товаров, работ и услуг для обеспечения государственных (муниципальных) нужд</v>
      </c>
      <c r="C468" s="521"/>
      <c r="D468" s="521"/>
      <c r="E468" s="521"/>
      <c r="F468" s="522"/>
      <c r="G468" s="366" t="str">
        <f>+'11'!Q224</f>
        <v>8900000190</v>
      </c>
      <c r="H468" s="363" t="str">
        <f>+'11'!R224</f>
        <v>240</v>
      </c>
      <c r="I468" s="418">
        <f>+'11'!O224</f>
        <v>4</v>
      </c>
      <c r="J468" s="418">
        <f>+'11'!P224</f>
        <v>5</v>
      </c>
      <c r="K468" s="523"/>
      <c r="L468" s="524"/>
      <c r="M468" s="361"/>
      <c r="N468" s="362"/>
      <c r="O468" s="365">
        <f>+'11'!U224</f>
        <v>502.24700000000001</v>
      </c>
      <c r="P468" s="434">
        <f>+'11'!AG224</f>
        <v>94.475650000000002</v>
      </c>
      <c r="Q468" s="436">
        <f t="shared" si="10"/>
        <v>18.810595185237542</v>
      </c>
    </row>
    <row r="469" spans="2:17" ht="13.5" thickBot="1" x14ac:dyDescent="0.25">
      <c r="B469" s="521" t="str">
        <f>+'11'!B225:M225</f>
        <v>Закупка товаров, работ, услуг в сфере информационно-коммуникационных технологий</v>
      </c>
      <c r="C469" s="521"/>
      <c r="D469" s="521"/>
      <c r="E469" s="521"/>
      <c r="F469" s="522"/>
      <c r="G469" s="366" t="str">
        <f>+'11'!Q225</f>
        <v>8900000190</v>
      </c>
      <c r="H469" s="363" t="str">
        <f>+'11'!R225</f>
        <v>242</v>
      </c>
      <c r="I469" s="418">
        <f>+'11'!O225</f>
        <v>4</v>
      </c>
      <c r="J469" s="418">
        <f>+'11'!P225</f>
        <v>5</v>
      </c>
      <c r="K469" s="523"/>
      <c r="L469" s="524"/>
      <c r="M469" s="361"/>
      <c r="N469" s="362"/>
      <c r="O469" s="365">
        <f>+'11'!U225</f>
        <v>147.709</v>
      </c>
      <c r="P469" s="434">
        <f>+'11'!AG225</f>
        <v>7.8756500000000003</v>
      </c>
      <c r="Q469" s="436">
        <f t="shared" si="10"/>
        <v>5.3318687419182309</v>
      </c>
    </row>
    <row r="470" spans="2:17" ht="13.5" thickBot="1" x14ac:dyDescent="0.25">
      <c r="B470" s="521" t="str">
        <f>+'11'!B226:M226</f>
        <v>Прочая закупка товаров, работ и услуг</v>
      </c>
      <c r="C470" s="521"/>
      <c r="D470" s="521"/>
      <c r="E470" s="521"/>
      <c r="F470" s="522"/>
      <c r="G470" s="366" t="str">
        <f>+'11'!Q226</f>
        <v>8900000190</v>
      </c>
      <c r="H470" s="363" t="str">
        <f>+'11'!R226</f>
        <v>244</v>
      </c>
      <c r="I470" s="418">
        <f>+'11'!O226</f>
        <v>4</v>
      </c>
      <c r="J470" s="418">
        <f>+'11'!P226</f>
        <v>5</v>
      </c>
      <c r="K470" s="523"/>
      <c r="L470" s="524"/>
      <c r="M470" s="361"/>
      <c r="N470" s="362"/>
      <c r="O470" s="365">
        <f>+'11'!U226</f>
        <v>354.53800000000001</v>
      </c>
      <c r="P470" s="434">
        <f>+'11'!AG226</f>
        <v>86.6</v>
      </c>
      <c r="Q470" s="436">
        <f t="shared" si="10"/>
        <v>24.426154601199304</v>
      </c>
    </row>
    <row r="471" spans="2:17" ht="13.5" thickBot="1" x14ac:dyDescent="0.25">
      <c r="B471" s="521" t="str">
        <f>+'11'!B227:M227</f>
        <v>Иные бюджетные ассигнования</v>
      </c>
      <c r="C471" s="521"/>
      <c r="D471" s="521"/>
      <c r="E471" s="521"/>
      <c r="F471" s="522"/>
      <c r="G471" s="366" t="str">
        <f>+'11'!Q227</f>
        <v>8900000190</v>
      </c>
      <c r="H471" s="363" t="str">
        <f>+'11'!R227</f>
        <v>800</v>
      </c>
      <c r="I471" s="418">
        <f>+'11'!O227</f>
        <v>4</v>
      </c>
      <c r="J471" s="418">
        <f>+'11'!P227</f>
        <v>5</v>
      </c>
      <c r="K471" s="523"/>
      <c r="L471" s="524"/>
      <c r="M471" s="361"/>
      <c r="N471" s="362"/>
      <c r="O471" s="365">
        <f>+'11'!U227</f>
        <v>18.239999999999998</v>
      </c>
      <c r="P471" s="434">
        <f>+'11'!AG227</f>
        <v>4.2089999999999996</v>
      </c>
      <c r="Q471" s="436">
        <f t="shared" si="10"/>
        <v>23.075657894736842</v>
      </c>
    </row>
    <row r="472" spans="2:17" ht="13.5" thickBot="1" x14ac:dyDescent="0.25">
      <c r="B472" s="521" t="str">
        <f>+'11'!B228:M228</f>
        <v>Уплата налогов, сборов и иных платежей</v>
      </c>
      <c r="C472" s="521"/>
      <c r="D472" s="521"/>
      <c r="E472" s="521"/>
      <c r="F472" s="522"/>
      <c r="G472" s="366" t="str">
        <f>+'11'!Q228</f>
        <v>8900000190</v>
      </c>
      <c r="H472" s="363" t="str">
        <f>+'11'!R228</f>
        <v>850</v>
      </c>
      <c r="I472" s="418">
        <f>+'11'!O228</f>
        <v>4</v>
      </c>
      <c r="J472" s="418">
        <f>+'11'!P228</f>
        <v>5</v>
      </c>
      <c r="K472" s="523"/>
      <c r="L472" s="524"/>
      <c r="M472" s="361"/>
      <c r="N472" s="362"/>
      <c r="O472" s="365">
        <f>+'11'!U228</f>
        <v>18.239999999999998</v>
      </c>
      <c r="P472" s="434">
        <f>+'11'!AG228</f>
        <v>4.2089999999999996</v>
      </c>
      <c r="Q472" s="436">
        <f t="shared" si="10"/>
        <v>23.075657894736842</v>
      </c>
    </row>
    <row r="473" spans="2:17" ht="13.5" thickBot="1" x14ac:dyDescent="0.25">
      <c r="B473" s="521" t="str">
        <f>+'11'!B229:M229</f>
        <v>Уплата налога на имущество организаций и земельного налога</v>
      </c>
      <c r="C473" s="521"/>
      <c r="D473" s="521"/>
      <c r="E473" s="521"/>
      <c r="F473" s="522"/>
      <c r="G473" s="366" t="str">
        <f>+'11'!Q229</f>
        <v>8900000190</v>
      </c>
      <c r="H473" s="363" t="str">
        <f>+'11'!R229</f>
        <v>851</v>
      </c>
      <c r="I473" s="418">
        <f>+'11'!O229</f>
        <v>4</v>
      </c>
      <c r="J473" s="418">
        <f>+'11'!P229</f>
        <v>5</v>
      </c>
      <c r="K473" s="523"/>
      <c r="L473" s="524"/>
      <c r="M473" s="361"/>
      <c r="N473" s="362"/>
      <c r="O473" s="365">
        <f>+'11'!U229</f>
        <v>14.6</v>
      </c>
      <c r="P473" s="434">
        <f>+'11'!AG229</f>
        <v>3.4769999999999999</v>
      </c>
      <c r="Q473" s="436">
        <f t="shared" si="10"/>
        <v>23.815068493150683</v>
      </c>
    </row>
    <row r="474" spans="2:17" ht="13.5" thickBot="1" x14ac:dyDescent="0.25">
      <c r="B474" s="521" t="str">
        <f>+'11'!B230:M230</f>
        <v>Уплата прочих налогов, сборов</v>
      </c>
      <c r="C474" s="521"/>
      <c r="D474" s="521"/>
      <c r="E474" s="521"/>
      <c r="F474" s="522"/>
      <c r="G474" s="366" t="str">
        <f>+'11'!Q230</f>
        <v>8900000190</v>
      </c>
      <c r="H474" s="363" t="str">
        <f>+'11'!R230</f>
        <v>852</v>
      </c>
      <c r="I474" s="418">
        <f>+'11'!O230</f>
        <v>4</v>
      </c>
      <c r="J474" s="418">
        <f>+'11'!P230</f>
        <v>5</v>
      </c>
      <c r="K474" s="523"/>
      <c r="L474" s="524"/>
      <c r="M474" s="361"/>
      <c r="N474" s="362"/>
      <c r="O474" s="365">
        <f>+'11'!U230</f>
        <v>3.64</v>
      </c>
      <c r="P474" s="434">
        <f>+'11'!AG230</f>
        <v>0.73199999999999998</v>
      </c>
      <c r="Q474" s="436">
        <f t="shared" si="10"/>
        <v>20.109890109890109</v>
      </c>
    </row>
    <row r="475" spans="2:17" ht="13.5" thickBot="1" x14ac:dyDescent="0.25">
      <c r="B475" s="521" t="str">
        <f>+'11'!B231:M231</f>
        <v>Обеспечение деятельности органов местного самоуправления (Иные выплаты персоналу муниципальных органов, за исключением фонда оплаты труда)</v>
      </c>
      <c r="C475" s="521"/>
      <c r="D475" s="521"/>
      <c r="E475" s="521"/>
      <c r="F475" s="522"/>
      <c r="G475" s="366" t="str">
        <f>+'11'!Q231</f>
        <v>8900000870</v>
      </c>
      <c r="H475" s="363">
        <f>+'11'!R231</f>
        <v>0</v>
      </c>
      <c r="I475" s="418">
        <f>+'11'!O231</f>
        <v>4</v>
      </c>
      <c r="J475" s="418">
        <f>+'11'!P231</f>
        <v>5</v>
      </c>
      <c r="K475" s="523"/>
      <c r="L475" s="524"/>
      <c r="M475" s="361"/>
      <c r="N475" s="362"/>
      <c r="O475" s="365">
        <f>+'11'!U231</f>
        <v>21.175999999999998</v>
      </c>
      <c r="P475" s="434">
        <f>+'11'!AG231</f>
        <v>0</v>
      </c>
      <c r="Q475" s="436">
        <f t="shared" si="10"/>
        <v>0</v>
      </c>
    </row>
    <row r="476" spans="2:17" ht="13.5" thickBot="1" x14ac:dyDescent="0.25">
      <c r="B476" s="521" t="str">
        <f>+'11'!B232:M232</f>
        <v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v>
      </c>
      <c r="C476" s="521"/>
      <c r="D476" s="521"/>
      <c r="E476" s="521"/>
      <c r="F476" s="522"/>
      <c r="G476" s="366" t="str">
        <f>+'11'!Q232</f>
        <v>8900000870</v>
      </c>
      <c r="H476" s="363" t="str">
        <f>+'11'!R232</f>
        <v>100</v>
      </c>
      <c r="I476" s="418">
        <f>+'11'!O232</f>
        <v>4</v>
      </c>
      <c r="J476" s="418">
        <f>+'11'!P232</f>
        <v>5</v>
      </c>
      <c r="K476" s="523"/>
      <c r="L476" s="524"/>
      <c r="M476" s="361"/>
      <c r="N476" s="362"/>
      <c r="O476" s="365">
        <f>+'11'!U232</f>
        <v>21.175999999999998</v>
      </c>
      <c r="P476" s="434">
        <f>+'11'!AG232</f>
        <v>0</v>
      </c>
      <c r="Q476" s="436">
        <f t="shared" si="10"/>
        <v>0</v>
      </c>
    </row>
    <row r="477" spans="2:17" ht="13.5" thickBot="1" x14ac:dyDescent="0.25">
      <c r="B477" s="521" t="str">
        <f>+'11'!B233:M233</f>
        <v>Расходы на выплаты персоналу государственных (муниципальных) органов</v>
      </c>
      <c r="C477" s="521"/>
      <c r="D477" s="521"/>
      <c r="E477" s="521"/>
      <c r="F477" s="522"/>
      <c r="G477" s="366" t="str">
        <f>+'11'!Q233</f>
        <v>8900000870</v>
      </c>
      <c r="H477" s="363" t="str">
        <f>+'11'!R233</f>
        <v>120</v>
      </c>
      <c r="I477" s="418">
        <f>+'11'!O233</f>
        <v>4</v>
      </c>
      <c r="J477" s="418">
        <f>+'11'!P233</f>
        <v>5</v>
      </c>
      <c r="K477" s="523"/>
      <c r="L477" s="524"/>
      <c r="M477" s="361"/>
      <c r="N477" s="362"/>
      <c r="O477" s="365">
        <f>+'11'!U233</f>
        <v>21.175999999999998</v>
      </c>
      <c r="P477" s="434">
        <f>+'11'!AG233</f>
        <v>0</v>
      </c>
      <c r="Q477" s="436">
        <f t="shared" si="10"/>
        <v>0</v>
      </c>
    </row>
    <row r="478" spans="2:17" ht="13.5" thickBot="1" x14ac:dyDescent="0.25">
      <c r="B478" s="521" t="str">
        <f>+'11'!B234:M234</f>
        <v>Иные выплаты персоналу государственных (муниципальных) органов, за исключением фонда оплаты труда</v>
      </c>
      <c r="C478" s="521"/>
      <c r="D478" s="521"/>
      <c r="E478" s="521"/>
      <c r="F478" s="522"/>
      <c r="G478" s="366" t="str">
        <f>+'11'!Q234</f>
        <v>8900000870</v>
      </c>
      <c r="H478" s="363" t="str">
        <f>+'11'!R234</f>
        <v>122</v>
      </c>
      <c r="I478" s="418">
        <f>+'11'!O234</f>
        <v>4</v>
      </c>
      <c r="J478" s="418">
        <f>+'11'!P234</f>
        <v>5</v>
      </c>
      <c r="K478" s="523"/>
      <c r="L478" s="524"/>
      <c r="M478" s="361"/>
      <c r="N478" s="362"/>
      <c r="O478" s="365">
        <f>+'11'!U234</f>
        <v>21.175999999999998</v>
      </c>
      <c r="P478" s="434">
        <f>+'11'!AG234</f>
        <v>0</v>
      </c>
      <c r="Q478" s="436">
        <f t="shared" si="10"/>
        <v>0</v>
      </c>
    </row>
    <row r="479" spans="2:17" ht="13.5" thickBot="1" x14ac:dyDescent="0.25">
      <c r="B479" s="521" t="str">
        <f>+'11'!B235:M235</f>
        <v>Другие вопросы в области национальной экономики</v>
      </c>
      <c r="C479" s="521"/>
      <c r="D479" s="521"/>
      <c r="E479" s="521"/>
      <c r="F479" s="522"/>
      <c r="G479" s="366">
        <f>+'11'!Q235</f>
        <v>0</v>
      </c>
      <c r="H479" s="363">
        <f>+'11'!R235</f>
        <v>0</v>
      </c>
      <c r="I479" s="418">
        <f>+'11'!O235</f>
        <v>4</v>
      </c>
      <c r="J479" s="418">
        <f>+'11'!P235</f>
        <v>12</v>
      </c>
      <c r="K479" s="523"/>
      <c r="L479" s="524"/>
      <c r="M479" s="361"/>
      <c r="N479" s="362"/>
      <c r="O479" s="365">
        <f>+'11'!U235</f>
        <v>377.22199999999998</v>
      </c>
      <c r="P479" s="434">
        <f>+'11'!AG235</f>
        <v>90.486320000000006</v>
      </c>
      <c r="Q479" s="436">
        <f t="shared" si="10"/>
        <v>23.987551097231872</v>
      </c>
    </row>
    <row r="480" spans="2:17" ht="13.5" thickBot="1" x14ac:dyDescent="0.25">
      <c r="B480" s="521" t="str">
        <f>+'11'!B236:M236</f>
        <v>Обеспечение деятельности органов местного самоуправления</v>
      </c>
      <c r="C480" s="521"/>
      <c r="D480" s="521"/>
      <c r="E480" s="521"/>
      <c r="F480" s="522"/>
      <c r="G480" s="366" t="str">
        <f>+'11'!Q236</f>
        <v>8900000000</v>
      </c>
      <c r="H480" s="363">
        <f>+'11'!R236</f>
        <v>0</v>
      </c>
      <c r="I480" s="418">
        <f>+'11'!O236</f>
        <v>4</v>
      </c>
      <c r="J480" s="418">
        <f>+'11'!P236</f>
        <v>12</v>
      </c>
      <c r="K480" s="523"/>
      <c r="L480" s="524"/>
      <c r="M480" s="361"/>
      <c r="N480" s="362"/>
      <c r="O480" s="365">
        <f>+'11'!U236</f>
        <v>377.22199999999998</v>
      </c>
      <c r="P480" s="434">
        <f>+'11'!AG236</f>
        <v>90.486320000000006</v>
      </c>
      <c r="Q480" s="436">
        <f t="shared" si="10"/>
        <v>23.987551097231872</v>
      </c>
    </row>
    <row r="481" spans="2:19" ht="13.5" thickBot="1" x14ac:dyDescent="0.25">
      <c r="B481" s="521" t="str">
        <f>+'11'!B237:M237</f>
        <v>Обеспечение хозяйственного обслуживания в целях функционированияорганов местного самоуправления</v>
      </c>
      <c r="C481" s="521"/>
      <c r="D481" s="521"/>
      <c r="E481" s="521"/>
      <c r="F481" s="522"/>
      <c r="G481" s="366" t="str">
        <f>+'11'!Q237</f>
        <v>8900000140</v>
      </c>
      <c r="H481" s="363">
        <f>+'11'!R237</f>
        <v>0</v>
      </c>
      <c r="I481" s="418">
        <f>+'11'!O237</f>
        <v>4</v>
      </c>
      <c r="J481" s="418">
        <f>+'11'!P237</f>
        <v>12</v>
      </c>
      <c r="K481" s="523"/>
      <c r="L481" s="524"/>
      <c r="M481" s="361"/>
      <c r="N481" s="362"/>
      <c r="O481" s="365">
        <f>+'11'!U237</f>
        <v>377.22199999999998</v>
      </c>
      <c r="P481" s="434">
        <f>+'11'!AG237</f>
        <v>90.486320000000006</v>
      </c>
      <c r="Q481" s="436">
        <f t="shared" si="10"/>
        <v>23.987551097231872</v>
      </c>
    </row>
    <row r="482" spans="2:19" ht="13.5" thickBot="1" x14ac:dyDescent="0.25">
      <c r="B482" s="521" t="str">
        <f>+'11'!B238:M238</f>
        <v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v>
      </c>
      <c r="C482" s="521"/>
      <c r="D482" s="521"/>
      <c r="E482" s="521"/>
      <c r="F482" s="522"/>
      <c r="G482" s="366" t="str">
        <f>+'11'!Q238</f>
        <v>8900000140</v>
      </c>
      <c r="H482" s="363" t="str">
        <f>+'11'!R238</f>
        <v>100</v>
      </c>
      <c r="I482" s="418">
        <f>+'11'!O238</f>
        <v>4</v>
      </c>
      <c r="J482" s="418">
        <f>+'11'!P238</f>
        <v>12</v>
      </c>
      <c r="K482" s="523"/>
      <c r="L482" s="524"/>
      <c r="M482" s="361"/>
      <c r="N482" s="362"/>
      <c r="O482" s="365">
        <f>+'11'!U238</f>
        <v>377.22199999999998</v>
      </c>
      <c r="P482" s="434">
        <f>+'11'!AG238</f>
        <v>90.486320000000006</v>
      </c>
      <c r="Q482" s="436">
        <f t="shared" si="10"/>
        <v>23.987551097231872</v>
      </c>
    </row>
    <row r="483" spans="2:19" ht="13.5" thickBot="1" x14ac:dyDescent="0.25">
      <c r="B483" s="521" t="str">
        <f>+'11'!B239:M239</f>
        <v>Расходы на выплаты персоналу государственных (муниципальных) органов</v>
      </c>
      <c r="C483" s="521"/>
      <c r="D483" s="521"/>
      <c r="E483" s="521"/>
      <c r="F483" s="522"/>
      <c r="G483" s="366" t="str">
        <f>+'11'!Q239</f>
        <v>8900000140</v>
      </c>
      <c r="H483" s="363" t="str">
        <f>+'11'!R239</f>
        <v>120</v>
      </c>
      <c r="I483" s="418">
        <f>+'11'!O239</f>
        <v>4</v>
      </c>
      <c r="J483" s="418">
        <f>+'11'!P239</f>
        <v>12</v>
      </c>
      <c r="K483" s="523"/>
      <c r="L483" s="524"/>
      <c r="M483" s="361"/>
      <c r="N483" s="362"/>
      <c r="O483" s="365">
        <f>+'11'!U239</f>
        <v>377.22199999999998</v>
      </c>
      <c r="P483" s="434">
        <f>+'11'!AG239</f>
        <v>90.486320000000006</v>
      </c>
      <c r="Q483" s="436">
        <f t="shared" si="10"/>
        <v>23.987551097231872</v>
      </c>
    </row>
    <row r="484" spans="2:19" ht="13.5" thickBot="1" x14ac:dyDescent="0.25">
      <c r="B484" s="521" t="str">
        <f>+'11'!B240:M240</f>
        <v>Фонд оплаты труда государственных (муниципальных) органов</v>
      </c>
      <c r="C484" s="521"/>
      <c r="D484" s="521"/>
      <c r="E484" s="521"/>
      <c r="F484" s="522"/>
      <c r="G484" s="366" t="str">
        <f>+'11'!Q240</f>
        <v>8900000140</v>
      </c>
      <c r="H484" s="363" t="str">
        <f>+'11'!R240</f>
        <v>121</v>
      </c>
      <c r="I484" s="418">
        <f>+'11'!O240</f>
        <v>4</v>
      </c>
      <c r="J484" s="418">
        <f>+'11'!P240</f>
        <v>12</v>
      </c>
      <c r="K484" s="523"/>
      <c r="L484" s="524"/>
      <c r="M484" s="361"/>
      <c r="N484" s="362"/>
      <c r="O484" s="365">
        <f>+'11'!U240</f>
        <v>289.72500000000002</v>
      </c>
      <c r="P484" s="434">
        <f>+'11'!AG240</f>
        <v>69.49794</v>
      </c>
      <c r="Q484" s="436">
        <f t="shared" si="10"/>
        <v>23.987553714729483</v>
      </c>
    </row>
    <row r="485" spans="2:19" ht="13.5" thickBot="1" x14ac:dyDescent="0.25">
      <c r="B485" s="521" t="str">
        <f>+'11'!B241:M241</f>
        <v>Взносы по обязательному социальному страхованию на выплаты денежного содержания и иные выплаты работникам государственных (муниципальных) органов</v>
      </c>
      <c r="C485" s="521"/>
      <c r="D485" s="521"/>
      <c r="E485" s="521"/>
      <c r="F485" s="522"/>
      <c r="G485" s="366" t="str">
        <f>+'11'!Q241</f>
        <v>8900000140</v>
      </c>
      <c r="H485" s="363" t="str">
        <f>+'11'!R241</f>
        <v>129</v>
      </c>
      <c r="I485" s="418">
        <f>+'11'!O241</f>
        <v>4</v>
      </c>
      <c r="J485" s="418">
        <f>+'11'!P241</f>
        <v>12</v>
      </c>
      <c r="K485" s="523"/>
      <c r="L485" s="524"/>
      <c r="M485" s="361"/>
      <c r="N485" s="362"/>
      <c r="O485" s="365">
        <f>+'11'!U241</f>
        <v>87.497</v>
      </c>
      <c r="P485" s="434">
        <f>+'11'!AG241</f>
        <v>20.988379999999999</v>
      </c>
      <c r="Q485" s="436">
        <f t="shared" si="10"/>
        <v>23.987542430026171</v>
      </c>
    </row>
    <row r="486" spans="2:19" s="419" customFormat="1" ht="52.5" customHeight="1" thickBot="1" x14ac:dyDescent="0.25">
      <c r="B486" s="525" t="str">
        <f>+'11'!B359:M359</f>
        <v>Обеспечение деятельности органов местного самоуправления, осуществляющих функции финансового (финансово-бюджетного) надзора (контроля)</v>
      </c>
      <c r="C486" s="525"/>
      <c r="D486" s="525"/>
      <c r="E486" s="525"/>
      <c r="F486" s="526"/>
      <c r="G486" s="420" t="str">
        <f>+'11'!Q359</f>
        <v>9300000000</v>
      </c>
      <c r="H486" s="421">
        <f>+'11'!R359</f>
        <v>0</v>
      </c>
      <c r="I486" s="425">
        <f>+'11'!O359</f>
        <v>1</v>
      </c>
      <c r="J486" s="425">
        <f>+'11'!P359</f>
        <v>6</v>
      </c>
      <c r="K486" s="527"/>
      <c r="L486" s="528"/>
      <c r="M486" s="422"/>
      <c r="N486" s="423"/>
      <c r="O486" s="424">
        <f>+'11'!U359</f>
        <v>1414.99</v>
      </c>
      <c r="P486" s="437">
        <f>+'11'!AG359</f>
        <v>389.68783000000008</v>
      </c>
      <c r="Q486" s="435">
        <f t="shared" si="10"/>
        <v>27.539970600498947</v>
      </c>
      <c r="R486" s="419">
        <f>+'[1]13'!$M$219</f>
        <v>1414.99</v>
      </c>
      <c r="S486" s="428">
        <f>+R486-O486</f>
        <v>0</v>
      </c>
    </row>
    <row r="487" spans="2:19" ht="13.5" thickBot="1" x14ac:dyDescent="0.25">
      <c r="B487" s="521" t="str">
        <f>+'11'!B360:M360</f>
        <v>Функционирование контрольно-счетных органов (Расходы на выплаты персоналу в целях обеспечения выполнения функций муниципальными органами)</v>
      </c>
      <c r="C487" s="521"/>
      <c r="D487" s="521"/>
      <c r="E487" s="521"/>
      <c r="F487" s="522"/>
      <c r="G487" s="366" t="str">
        <f>+'11'!Q360</f>
        <v>9300000110</v>
      </c>
      <c r="H487" s="363">
        <f>+'11'!R360</f>
        <v>0</v>
      </c>
      <c r="I487" s="418">
        <f>+'11'!O360</f>
        <v>1</v>
      </c>
      <c r="J487" s="418">
        <f>+'11'!P360</f>
        <v>6</v>
      </c>
      <c r="K487" s="523"/>
      <c r="L487" s="524"/>
      <c r="M487" s="361"/>
      <c r="N487" s="362"/>
      <c r="O487" s="365">
        <f>+'11'!U360</f>
        <v>764.73599999999999</v>
      </c>
      <c r="P487" s="438">
        <f>+'11'!AG360</f>
        <v>186.32093</v>
      </c>
      <c r="Q487" s="436">
        <f t="shared" si="10"/>
        <v>24.364085122185958</v>
      </c>
    </row>
    <row r="488" spans="2:19" ht="13.5" thickBot="1" x14ac:dyDescent="0.25">
      <c r="B488" s="521" t="str">
        <f>+'11'!B361:M361</f>
        <v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v>
      </c>
      <c r="C488" s="521"/>
      <c r="D488" s="521"/>
      <c r="E488" s="521"/>
      <c r="F488" s="522"/>
      <c r="G488" s="366" t="str">
        <f>+'11'!Q361</f>
        <v>9300000110</v>
      </c>
      <c r="H488" s="363" t="str">
        <f>+'11'!R361</f>
        <v>100</v>
      </c>
      <c r="I488" s="418">
        <f>+'11'!O361</f>
        <v>1</v>
      </c>
      <c r="J488" s="418">
        <f>+'11'!P361</f>
        <v>6</v>
      </c>
      <c r="K488" s="523"/>
      <c r="L488" s="524"/>
      <c r="M488" s="361"/>
      <c r="N488" s="362"/>
      <c r="O488" s="365">
        <f>+'11'!U361</f>
        <v>764.73599999999999</v>
      </c>
      <c r="P488" s="438">
        <f>+'11'!AG361</f>
        <v>186.32093</v>
      </c>
      <c r="Q488" s="436">
        <f t="shared" si="10"/>
        <v>24.364085122185958</v>
      </c>
    </row>
    <row r="489" spans="2:19" ht="13.5" thickBot="1" x14ac:dyDescent="0.25">
      <c r="B489" s="521" t="str">
        <f>+'11'!B362:M362</f>
        <v>Расходы на выплаты персоналу государственных (муниципальных) органов</v>
      </c>
      <c r="C489" s="521"/>
      <c r="D489" s="521"/>
      <c r="E489" s="521"/>
      <c r="F489" s="522"/>
      <c r="G489" s="366" t="str">
        <f>+'11'!Q362</f>
        <v>9300000110</v>
      </c>
      <c r="H489" s="363" t="str">
        <f>+'11'!R362</f>
        <v>120</v>
      </c>
      <c r="I489" s="418">
        <f>+'11'!O362</f>
        <v>1</v>
      </c>
      <c r="J489" s="418">
        <f>+'11'!P362</f>
        <v>6</v>
      </c>
      <c r="K489" s="523"/>
      <c r="L489" s="524"/>
      <c r="M489" s="361"/>
      <c r="N489" s="362"/>
      <c r="O489" s="365">
        <f>+'11'!U362</f>
        <v>764.73599999999999</v>
      </c>
      <c r="P489" s="438">
        <f>+'11'!AG362</f>
        <v>186.32093</v>
      </c>
      <c r="Q489" s="436">
        <f t="shared" si="10"/>
        <v>24.364085122185958</v>
      </c>
    </row>
    <row r="490" spans="2:19" ht="13.5" thickBot="1" x14ac:dyDescent="0.25">
      <c r="B490" s="521" t="str">
        <f>+'11'!B363:M363</f>
        <v>Фонд оплаты труда государственных (муниципальных) органов</v>
      </c>
      <c r="C490" s="521"/>
      <c r="D490" s="521"/>
      <c r="E490" s="521"/>
      <c r="F490" s="522"/>
      <c r="G490" s="366" t="str">
        <f>+'11'!Q363</f>
        <v>9300000110</v>
      </c>
      <c r="H490" s="363" t="str">
        <f>+'11'!R363</f>
        <v>121</v>
      </c>
      <c r="I490" s="418">
        <f>+'11'!O363</f>
        <v>1</v>
      </c>
      <c r="J490" s="418">
        <f>+'11'!P363</f>
        <v>6</v>
      </c>
      <c r="K490" s="523"/>
      <c r="L490" s="524"/>
      <c r="M490" s="361"/>
      <c r="N490" s="362"/>
      <c r="O490" s="365">
        <f>+'11'!U363</f>
        <v>587.35500000000002</v>
      </c>
      <c r="P490" s="438">
        <f>+'11'!AG363</f>
        <v>143.10363000000001</v>
      </c>
      <c r="Q490" s="436">
        <f t="shared" si="10"/>
        <v>24.364077942641163</v>
      </c>
    </row>
    <row r="491" spans="2:19" ht="13.5" thickBot="1" x14ac:dyDescent="0.25">
      <c r="B491" s="521" t="str">
        <f>+'11'!B364:M364</f>
        <v>Взносы по обязательному социальному страхованию на выплаты денежного содержания и иные выплаты работникам государственных (муниципальных) органов</v>
      </c>
      <c r="C491" s="521"/>
      <c r="D491" s="521"/>
      <c r="E491" s="521"/>
      <c r="F491" s="522"/>
      <c r="G491" s="366" t="str">
        <f>+'11'!Q364</f>
        <v>9300000110</v>
      </c>
      <c r="H491" s="363" t="str">
        <f>+'11'!R364</f>
        <v>129</v>
      </c>
      <c r="I491" s="418">
        <f>+'11'!O364</f>
        <v>1</v>
      </c>
      <c r="J491" s="418">
        <f>+'11'!P364</f>
        <v>6</v>
      </c>
      <c r="K491" s="523"/>
      <c r="L491" s="524"/>
      <c r="M491" s="361"/>
      <c r="N491" s="362"/>
      <c r="O491" s="365">
        <f>+'11'!U364</f>
        <v>177.381</v>
      </c>
      <c r="P491" s="438">
        <f>+'11'!AG364</f>
        <v>43.217300000000002</v>
      </c>
      <c r="Q491" s="436">
        <f t="shared" si="10"/>
        <v>24.364108895541236</v>
      </c>
    </row>
    <row r="492" spans="2:19" ht="13.5" thickBot="1" x14ac:dyDescent="0.25">
      <c r="B492" s="521" t="str">
        <f>+'11'!B365:M365</f>
        <v>Функционирование контрольно-счетных органов (Расходы на выплаты персоналу в целях обеспечения выполнения функций муниципальными органами ИНСПЕКТОР)</v>
      </c>
      <c r="C492" s="521"/>
      <c r="D492" s="521"/>
      <c r="E492" s="521"/>
      <c r="F492" s="522"/>
      <c r="G492" s="366" t="str">
        <f>+'11'!Q365</f>
        <v>9300000120</v>
      </c>
      <c r="H492" s="363">
        <f>+'11'!R365</f>
        <v>0</v>
      </c>
      <c r="I492" s="418">
        <f>+'11'!O365</f>
        <v>1</v>
      </c>
      <c r="J492" s="418">
        <f>+'11'!P365</f>
        <v>6</v>
      </c>
      <c r="K492" s="523"/>
      <c r="L492" s="524"/>
      <c r="M492" s="361"/>
      <c r="N492" s="362"/>
      <c r="O492" s="365">
        <f>+'11'!U365</f>
        <v>581.28499999999997</v>
      </c>
      <c r="P492" s="438">
        <f>+'11'!AG365</f>
        <v>167.30860000000001</v>
      </c>
      <c r="Q492" s="436">
        <f t="shared" si="10"/>
        <v>28.782542126495613</v>
      </c>
    </row>
    <row r="493" spans="2:19" ht="13.5" thickBot="1" x14ac:dyDescent="0.25">
      <c r="B493" s="521" t="str">
        <f>+'11'!B366:M366</f>
        <v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v>
      </c>
      <c r="C493" s="521"/>
      <c r="D493" s="521"/>
      <c r="E493" s="521"/>
      <c r="F493" s="522"/>
      <c r="G493" s="366" t="str">
        <f>+'11'!Q366</f>
        <v>9300000120</v>
      </c>
      <c r="H493" s="363" t="str">
        <f>+'11'!R366</f>
        <v>100</v>
      </c>
      <c r="I493" s="418">
        <f>+'11'!O366</f>
        <v>1</v>
      </c>
      <c r="J493" s="418">
        <f>+'11'!P366</f>
        <v>6</v>
      </c>
      <c r="K493" s="523"/>
      <c r="L493" s="524"/>
      <c r="M493" s="361"/>
      <c r="N493" s="362"/>
      <c r="O493" s="365">
        <f>+'11'!U366</f>
        <v>581.28499999999997</v>
      </c>
      <c r="P493" s="438">
        <f>+'11'!AG366</f>
        <v>167.30860000000001</v>
      </c>
      <c r="Q493" s="436">
        <f t="shared" si="10"/>
        <v>28.782542126495613</v>
      </c>
    </row>
    <row r="494" spans="2:19" ht="13.5" thickBot="1" x14ac:dyDescent="0.25">
      <c r="B494" s="521" t="str">
        <f>+'11'!B367:M367</f>
        <v>Расходы на выплаты персоналу государственных (муниципальных) органов</v>
      </c>
      <c r="C494" s="521"/>
      <c r="D494" s="521"/>
      <c r="E494" s="521"/>
      <c r="F494" s="522"/>
      <c r="G494" s="366" t="str">
        <f>+'11'!Q367</f>
        <v>9300000120</v>
      </c>
      <c r="H494" s="363" t="str">
        <f>+'11'!R367</f>
        <v>120</v>
      </c>
      <c r="I494" s="418">
        <f>+'11'!O367</f>
        <v>1</v>
      </c>
      <c r="J494" s="418">
        <f>+'11'!P367</f>
        <v>6</v>
      </c>
      <c r="K494" s="523"/>
      <c r="L494" s="524"/>
      <c r="M494" s="361"/>
      <c r="N494" s="362"/>
      <c r="O494" s="365">
        <f>+'11'!U367</f>
        <v>581.28499999999997</v>
      </c>
      <c r="P494" s="438">
        <f>+'11'!AG367</f>
        <v>167.30860000000001</v>
      </c>
      <c r="Q494" s="436">
        <f t="shared" si="10"/>
        <v>28.782542126495613</v>
      </c>
    </row>
    <row r="495" spans="2:19" ht="13.5" thickBot="1" x14ac:dyDescent="0.25">
      <c r="B495" s="521" t="str">
        <f>+'11'!B368:M368</f>
        <v>Фонд оплаты труда государственных (муниципальных) органов</v>
      </c>
      <c r="C495" s="521"/>
      <c r="D495" s="521"/>
      <c r="E495" s="521"/>
      <c r="F495" s="522"/>
      <c r="G495" s="366" t="str">
        <f>+'11'!Q368</f>
        <v>9300000120</v>
      </c>
      <c r="H495" s="363" t="str">
        <f>+'11'!R368</f>
        <v>121</v>
      </c>
      <c r="I495" s="418">
        <f>+'11'!O368</f>
        <v>1</v>
      </c>
      <c r="J495" s="418">
        <f>+'11'!P368</f>
        <v>6</v>
      </c>
      <c r="K495" s="523"/>
      <c r="L495" s="524"/>
      <c r="M495" s="361"/>
      <c r="N495" s="362"/>
      <c r="O495" s="365">
        <f>+'11'!U368</f>
        <v>446.45499999999998</v>
      </c>
      <c r="P495" s="438">
        <f>+'11'!AG368</f>
        <v>129.42289</v>
      </c>
      <c r="Q495" s="436">
        <f t="shared" si="10"/>
        <v>28.989011210536336</v>
      </c>
    </row>
    <row r="496" spans="2:19" ht="13.5" thickBot="1" x14ac:dyDescent="0.25">
      <c r="B496" s="521" t="str">
        <f>+'11'!B369:M369</f>
        <v>Взносы по обязательному социальному страхованию на выплаты денежного содержания и иные выплаты работникам государственных (муниципальных) органов</v>
      </c>
      <c r="C496" s="521"/>
      <c r="D496" s="521"/>
      <c r="E496" s="521"/>
      <c r="F496" s="522"/>
      <c r="G496" s="366" t="str">
        <f>+'11'!Q369</f>
        <v>9300000120</v>
      </c>
      <c r="H496" s="363" t="str">
        <f>+'11'!R369</f>
        <v>129</v>
      </c>
      <c r="I496" s="418">
        <f>+'11'!O369</f>
        <v>1</v>
      </c>
      <c r="J496" s="418">
        <f>+'11'!P369</f>
        <v>6</v>
      </c>
      <c r="K496" s="523"/>
      <c r="L496" s="524"/>
      <c r="M496" s="361"/>
      <c r="N496" s="362"/>
      <c r="O496" s="365">
        <f>+'11'!U369</f>
        <v>134.83000000000001</v>
      </c>
      <c r="P496" s="438">
        <f>+'11'!AG369</f>
        <v>37.885710000000003</v>
      </c>
      <c r="Q496" s="436">
        <f t="shared" si="10"/>
        <v>28.098872654453753</v>
      </c>
    </row>
    <row r="497" spans="2:19" ht="13.5" thickBot="1" x14ac:dyDescent="0.25">
      <c r="B497" s="521" t="str">
        <f>+'11'!B370:M370</f>
        <v>Функционирование контрольно-счетных органов (Закупка товаров, работ и услуг для обеспечения муниципальных нужд)</v>
      </c>
      <c r="C497" s="521"/>
      <c r="D497" s="521"/>
      <c r="E497" s="521"/>
      <c r="F497" s="522"/>
      <c r="G497" s="366" t="str">
        <f>+'11'!Q370</f>
        <v>9300000190</v>
      </c>
      <c r="H497" s="363">
        <f>+'11'!R370</f>
        <v>0</v>
      </c>
      <c r="I497" s="418">
        <f>+'11'!O370</f>
        <v>1</v>
      </c>
      <c r="J497" s="418">
        <f>+'11'!P370</f>
        <v>6</v>
      </c>
      <c r="K497" s="523"/>
      <c r="L497" s="524"/>
      <c r="M497" s="361"/>
      <c r="N497" s="362"/>
      <c r="O497" s="365">
        <f>+'11'!U370</f>
        <v>68.968999999999994</v>
      </c>
      <c r="P497" s="438">
        <f>+'11'!AG370</f>
        <v>36.058300000000003</v>
      </c>
      <c r="Q497" s="436">
        <f t="shared" si="10"/>
        <v>52.281894764314409</v>
      </c>
    </row>
    <row r="498" spans="2:19" ht="13.5" thickBot="1" x14ac:dyDescent="0.25">
      <c r="B498" s="521" t="str">
        <f>+'11'!B371:M371</f>
        <v>Закупка товаров, работ и услуг для обеспечения государственных (муниципальных) нужд</v>
      </c>
      <c r="C498" s="521"/>
      <c r="D498" s="521"/>
      <c r="E498" s="521"/>
      <c r="F498" s="522"/>
      <c r="G498" s="366" t="str">
        <f>+'11'!Q371</f>
        <v>9300000190</v>
      </c>
      <c r="H498" s="363" t="str">
        <f>+'11'!R371</f>
        <v>200</v>
      </c>
      <c r="I498" s="418">
        <f>+'11'!O371</f>
        <v>1</v>
      </c>
      <c r="J498" s="418">
        <f>+'11'!P371</f>
        <v>6</v>
      </c>
      <c r="K498" s="523"/>
      <c r="L498" s="524"/>
      <c r="M498" s="361"/>
      <c r="N498" s="362"/>
      <c r="O498" s="365">
        <f>+'11'!U371</f>
        <v>68.968999999999994</v>
      </c>
      <c r="P498" s="438">
        <f>+'11'!AG371</f>
        <v>36.058300000000003</v>
      </c>
      <c r="Q498" s="436">
        <f t="shared" si="10"/>
        <v>52.281894764314409</v>
      </c>
    </row>
    <row r="499" spans="2:19" ht="13.5" thickBot="1" x14ac:dyDescent="0.25">
      <c r="B499" s="521" t="str">
        <f>+'11'!B372:M372</f>
        <v>Иные закупки товаров, работ и услуг для обеспечения государственных (муниципальных) нужд</v>
      </c>
      <c r="C499" s="521"/>
      <c r="D499" s="521"/>
      <c r="E499" s="521"/>
      <c r="F499" s="522"/>
      <c r="G499" s="366" t="str">
        <f>+'11'!Q372</f>
        <v>9300000190</v>
      </c>
      <c r="H499" s="363" t="str">
        <f>+'11'!R372</f>
        <v>240</v>
      </c>
      <c r="I499" s="418">
        <f>+'11'!O372</f>
        <v>1</v>
      </c>
      <c r="J499" s="418">
        <f>+'11'!P372</f>
        <v>6</v>
      </c>
      <c r="K499" s="523"/>
      <c r="L499" s="524"/>
      <c r="M499" s="361"/>
      <c r="N499" s="362"/>
      <c r="O499" s="365">
        <f>+'11'!U372</f>
        <v>68.968999999999994</v>
      </c>
      <c r="P499" s="438">
        <f>+'11'!AG372</f>
        <v>36.058300000000003</v>
      </c>
      <c r="Q499" s="436">
        <f t="shared" si="10"/>
        <v>52.281894764314409</v>
      </c>
    </row>
    <row r="500" spans="2:19" ht="13.5" thickBot="1" x14ac:dyDescent="0.25">
      <c r="B500" s="521" t="str">
        <f>+'11'!B373:M373</f>
        <v>Закупка товаров, работ, услуг в сфере информационно-коммуникационных технологий</v>
      </c>
      <c r="C500" s="521"/>
      <c r="D500" s="521"/>
      <c r="E500" s="521"/>
      <c r="F500" s="522"/>
      <c r="G500" s="366" t="str">
        <f>+'11'!Q373</f>
        <v>9300000190</v>
      </c>
      <c r="H500" s="363" t="str">
        <f>+'11'!R373</f>
        <v>242</v>
      </c>
      <c r="I500" s="418">
        <f>+'11'!O373</f>
        <v>1</v>
      </c>
      <c r="J500" s="418">
        <f>+'11'!P373</f>
        <v>6</v>
      </c>
      <c r="K500" s="523"/>
      <c r="L500" s="524"/>
      <c r="M500" s="361"/>
      <c r="N500" s="362"/>
      <c r="O500" s="365">
        <f>+'11'!U373</f>
        <v>38.448999999999998</v>
      </c>
      <c r="P500" s="438">
        <f>+'11'!AG373</f>
        <v>5.5382999999999996</v>
      </c>
      <c r="Q500" s="436">
        <f t="shared" si="10"/>
        <v>14.404275793908813</v>
      </c>
    </row>
    <row r="501" spans="2:19" ht="13.5" thickBot="1" x14ac:dyDescent="0.25">
      <c r="B501" s="521" t="str">
        <f>+'11'!B374:M374</f>
        <v>Прочая закупка товаров, работ и услуг</v>
      </c>
      <c r="C501" s="521"/>
      <c r="D501" s="521"/>
      <c r="E501" s="521"/>
      <c r="F501" s="522"/>
      <c r="G501" s="366" t="str">
        <f>+'11'!Q374</f>
        <v>9300000190</v>
      </c>
      <c r="H501" s="363" t="str">
        <f>+'11'!R374</f>
        <v>244</v>
      </c>
      <c r="I501" s="418">
        <f>+'11'!O374</f>
        <v>1</v>
      </c>
      <c r="J501" s="418">
        <f>+'11'!P374</f>
        <v>6</v>
      </c>
      <c r="K501" s="523"/>
      <c r="L501" s="524"/>
      <c r="M501" s="361"/>
      <c r="N501" s="362"/>
      <c r="O501" s="365">
        <f>+'11'!U374</f>
        <v>30.52</v>
      </c>
      <c r="P501" s="438">
        <f>+'11'!AG374</f>
        <v>30.52</v>
      </c>
      <c r="Q501" s="436">
        <f t="shared" si="10"/>
        <v>100</v>
      </c>
    </row>
    <row r="502" spans="2:19" s="419" customFormat="1" ht="28.5" customHeight="1" thickBot="1" x14ac:dyDescent="0.25">
      <c r="B502" s="525" t="str">
        <f>+'11'!B376:M376</f>
        <v>Обеспечение проведения выборов и референдумов в муниципальном районе</v>
      </c>
      <c r="C502" s="525"/>
      <c r="D502" s="525"/>
      <c r="E502" s="525"/>
      <c r="F502" s="526"/>
      <c r="G502" s="420" t="str">
        <f>+'11'!Q376</f>
        <v>9400000000</v>
      </c>
      <c r="H502" s="421">
        <f>+'11'!R376</f>
        <v>0</v>
      </c>
      <c r="I502" s="425">
        <f>+'11'!O376</f>
        <v>1</v>
      </c>
      <c r="J502" s="425">
        <f>+'11'!P376</f>
        <v>7</v>
      </c>
      <c r="K502" s="527"/>
      <c r="L502" s="528"/>
      <c r="M502" s="422"/>
      <c r="N502" s="423"/>
      <c r="O502" s="424">
        <f>+'11'!U376</f>
        <v>292</v>
      </c>
      <c r="P502" s="437">
        <f>+'11'!AG376</f>
        <v>0</v>
      </c>
      <c r="Q502" s="435">
        <f t="shared" si="10"/>
        <v>0</v>
      </c>
      <c r="R502" s="419">
        <f>+'[1]13'!$M$229</f>
        <v>292</v>
      </c>
      <c r="S502" s="428">
        <f>+R502-O502</f>
        <v>0</v>
      </c>
    </row>
    <row r="503" spans="2:19" ht="13.5" thickBot="1" x14ac:dyDescent="0.25">
      <c r="B503" s="521" t="str">
        <f>+'11'!B377:M377</f>
        <v>Обеспечение проведения выборов местного самоуправления</v>
      </c>
      <c r="C503" s="521"/>
      <c r="D503" s="521"/>
      <c r="E503" s="521"/>
      <c r="F503" s="522"/>
      <c r="G503" s="366" t="str">
        <f>+'11'!Q377</f>
        <v>9400099990</v>
      </c>
      <c r="H503" s="363">
        <f>+'11'!R377</f>
        <v>0</v>
      </c>
      <c r="I503" s="418">
        <f>+'11'!O377</f>
        <v>1</v>
      </c>
      <c r="J503" s="418">
        <f>+'11'!P377</f>
        <v>7</v>
      </c>
      <c r="K503" s="523"/>
      <c r="L503" s="524"/>
      <c r="M503" s="361"/>
      <c r="N503" s="362"/>
      <c r="O503" s="365">
        <f>+'11'!U377</f>
        <v>292</v>
      </c>
      <c r="P503" s="438">
        <f>+'11'!AG377</f>
        <v>0</v>
      </c>
      <c r="Q503" s="436">
        <f t="shared" si="10"/>
        <v>0</v>
      </c>
    </row>
    <row r="504" spans="2:19" ht="13.5" thickBot="1" x14ac:dyDescent="0.25">
      <c r="B504" s="521" t="str">
        <f>+'11'!B378:M378</f>
        <v>Иные бюджетные ассигнования</v>
      </c>
      <c r="C504" s="521"/>
      <c r="D504" s="521"/>
      <c r="E504" s="521"/>
      <c r="F504" s="522"/>
      <c r="G504" s="366" t="str">
        <f>+'11'!Q378</f>
        <v>9400099990</v>
      </c>
      <c r="H504" s="363" t="str">
        <f>+'11'!R378</f>
        <v>800</v>
      </c>
      <c r="I504" s="418">
        <f>+'11'!O378</f>
        <v>1</v>
      </c>
      <c r="J504" s="418">
        <f>+'11'!P378</f>
        <v>7</v>
      </c>
      <c r="K504" s="523"/>
      <c r="L504" s="524"/>
      <c r="M504" s="361"/>
      <c r="N504" s="362"/>
      <c r="O504" s="365">
        <f>+'11'!U378</f>
        <v>292</v>
      </c>
      <c r="P504" s="438">
        <f>+'11'!AG378</f>
        <v>0</v>
      </c>
      <c r="Q504" s="436">
        <f t="shared" si="10"/>
        <v>0</v>
      </c>
    </row>
    <row r="505" spans="2:19" ht="13.5" thickBot="1" x14ac:dyDescent="0.25">
      <c r="B505" s="521" t="str">
        <f>+'11'!B379:M379</f>
        <v>Специальные расходы</v>
      </c>
      <c r="C505" s="521"/>
      <c r="D505" s="521"/>
      <c r="E505" s="521"/>
      <c r="F505" s="522"/>
      <c r="G505" s="366" t="str">
        <f>+'11'!Q379</f>
        <v>9400099990</v>
      </c>
      <c r="H505" s="363" t="str">
        <f>+'11'!R379</f>
        <v>880</v>
      </c>
      <c r="I505" s="418">
        <f>+'11'!O379</f>
        <v>1</v>
      </c>
      <c r="J505" s="418">
        <f>+'11'!P379</f>
        <v>7</v>
      </c>
      <c r="K505" s="523"/>
      <c r="L505" s="524"/>
      <c r="M505" s="361"/>
      <c r="N505" s="362"/>
      <c r="O505" s="365">
        <f>+'11'!U379</f>
        <v>292</v>
      </c>
      <c r="P505" s="438">
        <f>+'11'!AG379</f>
        <v>0</v>
      </c>
      <c r="Q505" s="436">
        <f t="shared" si="10"/>
        <v>0</v>
      </c>
    </row>
    <row r="506" spans="2:19" s="419" customFormat="1" ht="33" customHeight="1" thickBot="1" x14ac:dyDescent="0.25">
      <c r="B506" s="525" t="str">
        <f>+'11'!B481:M481</f>
        <v>Обеспечение деятельности единой дежурной диспетчерской службы (ЕДДС)</v>
      </c>
      <c r="C506" s="525"/>
      <c r="D506" s="525"/>
      <c r="E506" s="525"/>
      <c r="F506" s="526"/>
      <c r="G506" s="420" t="str">
        <f>+'11'!Q481</f>
        <v>9500000000</v>
      </c>
      <c r="H506" s="421">
        <f>+'11'!R481</f>
        <v>0</v>
      </c>
      <c r="I506" s="425">
        <f>+'11'!O481</f>
        <v>3</v>
      </c>
      <c r="J506" s="425">
        <f>+'11'!P481</f>
        <v>9</v>
      </c>
      <c r="K506" s="527"/>
      <c r="L506" s="528"/>
      <c r="M506" s="422"/>
      <c r="N506" s="423"/>
      <c r="O506" s="424">
        <f>+'11'!U481</f>
        <v>1591.8789999999999</v>
      </c>
      <c r="P506" s="437">
        <f>+'11'!AG481</f>
        <v>312.08812999999998</v>
      </c>
      <c r="Q506" s="435">
        <f t="shared" si="10"/>
        <v>19.605015833489855</v>
      </c>
      <c r="R506" s="419">
        <f>+'[1]13'!$M$231</f>
        <v>1591.8789999999999</v>
      </c>
      <c r="S506" s="428">
        <f>+R506-O506</f>
        <v>0</v>
      </c>
    </row>
    <row r="507" spans="2:19" ht="13.5" thickBot="1" x14ac:dyDescent="0.25">
      <c r="B507" s="521" t="str">
        <f>+'11'!B482:M482</f>
        <v>Расходы на выплаты по оплате труда работников</v>
      </c>
      <c r="C507" s="521"/>
      <c r="D507" s="521"/>
      <c r="E507" s="521"/>
      <c r="F507" s="522"/>
      <c r="G507" s="366" t="str">
        <f>+'11'!Q482</f>
        <v>9500000110</v>
      </c>
      <c r="H507" s="363">
        <f>+'11'!R482</f>
        <v>0</v>
      </c>
      <c r="I507" s="418">
        <f>+'11'!O482</f>
        <v>3</v>
      </c>
      <c r="J507" s="418">
        <f>+'11'!P482</f>
        <v>9</v>
      </c>
      <c r="K507" s="523"/>
      <c r="L507" s="524"/>
      <c r="M507" s="361"/>
      <c r="N507" s="362"/>
      <c r="O507" s="365">
        <f>+'11'!U482</f>
        <v>1405.6590000000001</v>
      </c>
      <c r="P507" s="438">
        <f>+'11'!AG482</f>
        <v>302.23852999999997</v>
      </c>
      <c r="Q507" s="436">
        <f t="shared" si="10"/>
        <v>21.501554075348285</v>
      </c>
    </row>
    <row r="508" spans="2:19" ht="13.5" thickBot="1" x14ac:dyDescent="0.25">
      <c r="B508" s="521" t="str">
        <f>+'11'!B483:M483</f>
        <v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v>
      </c>
      <c r="C508" s="521"/>
      <c r="D508" s="521"/>
      <c r="E508" s="521"/>
      <c r="F508" s="522"/>
      <c r="G508" s="366" t="str">
        <f>+'11'!Q483</f>
        <v>9500000110</v>
      </c>
      <c r="H508" s="363" t="str">
        <f>+'11'!R483</f>
        <v>100</v>
      </c>
      <c r="I508" s="418">
        <f>+'11'!O483</f>
        <v>3</v>
      </c>
      <c r="J508" s="418">
        <f>+'11'!P483</f>
        <v>9</v>
      </c>
      <c r="K508" s="523"/>
      <c r="L508" s="524"/>
      <c r="M508" s="361"/>
      <c r="N508" s="362"/>
      <c r="O508" s="365">
        <f>+'11'!U483</f>
        <v>1405.6590000000001</v>
      </c>
      <c r="P508" s="438">
        <f>+'11'!AG483</f>
        <v>302.23852999999997</v>
      </c>
      <c r="Q508" s="436">
        <f t="shared" si="10"/>
        <v>21.501554075348285</v>
      </c>
    </row>
    <row r="509" spans="2:19" ht="13.5" thickBot="1" x14ac:dyDescent="0.25">
      <c r="B509" s="521" t="str">
        <f>+'11'!B484:M484</f>
        <v>Расходы на выплаты персоналу государственных (муниципальных) органов</v>
      </c>
      <c r="C509" s="521"/>
      <c r="D509" s="521"/>
      <c r="E509" s="521"/>
      <c r="F509" s="522"/>
      <c r="G509" s="366" t="str">
        <f>+'11'!Q484</f>
        <v>9500000110</v>
      </c>
      <c r="H509" s="363" t="str">
        <f>+'11'!R484</f>
        <v>120</v>
      </c>
      <c r="I509" s="418">
        <f>+'11'!O484</f>
        <v>3</v>
      </c>
      <c r="J509" s="418">
        <f>+'11'!P484</f>
        <v>9</v>
      </c>
      <c r="K509" s="523"/>
      <c r="L509" s="524"/>
      <c r="M509" s="361"/>
      <c r="N509" s="362"/>
      <c r="O509" s="365">
        <f>+'11'!U484</f>
        <v>1405.6590000000001</v>
      </c>
      <c r="P509" s="438">
        <f>+'11'!AG484</f>
        <v>302.23852999999997</v>
      </c>
      <c r="Q509" s="436">
        <f t="shared" si="10"/>
        <v>21.501554075348285</v>
      </c>
    </row>
    <row r="510" spans="2:19" ht="13.5" thickBot="1" x14ac:dyDescent="0.25">
      <c r="B510" s="521" t="str">
        <f>+'11'!B485:M485</f>
        <v>Фонд оплаты труда государственных (муниципальных) органов</v>
      </c>
      <c r="C510" s="521"/>
      <c r="D510" s="521"/>
      <c r="E510" s="521"/>
      <c r="F510" s="522"/>
      <c r="G510" s="366" t="str">
        <f>+'11'!Q485</f>
        <v>9500000110</v>
      </c>
      <c r="H510" s="363" t="str">
        <f>+'11'!R485</f>
        <v>121</v>
      </c>
      <c r="I510" s="418">
        <f>+'11'!O485</f>
        <v>3</v>
      </c>
      <c r="J510" s="418">
        <f>+'11'!P485</f>
        <v>9</v>
      </c>
      <c r="K510" s="523"/>
      <c r="L510" s="524"/>
      <c r="M510" s="361"/>
      <c r="N510" s="362"/>
      <c r="O510" s="365">
        <f>+'11'!U485</f>
        <v>1079.615</v>
      </c>
      <c r="P510" s="438">
        <f>+'11'!AG485</f>
        <v>232.13405</v>
      </c>
      <c r="Q510" s="436">
        <f t="shared" si="10"/>
        <v>21.501558425920351</v>
      </c>
    </row>
    <row r="511" spans="2:19" ht="13.5" thickBot="1" x14ac:dyDescent="0.25">
      <c r="B511" s="521" t="str">
        <f>+'11'!B486:M486</f>
        <v>Взносы по обязательному социальному страхованию на выплаты денежного содержания и иные выплаты работникам государственных (муниципальных) органов</v>
      </c>
      <c r="C511" s="521"/>
      <c r="D511" s="521"/>
      <c r="E511" s="521"/>
      <c r="F511" s="522"/>
      <c r="G511" s="366" t="str">
        <f>+'11'!Q486</f>
        <v>9500000110</v>
      </c>
      <c r="H511" s="363" t="str">
        <f>+'11'!R486</f>
        <v>129</v>
      </c>
      <c r="I511" s="418">
        <f>+'11'!O486</f>
        <v>3</v>
      </c>
      <c r="J511" s="418">
        <f>+'11'!P486</f>
        <v>9</v>
      </c>
      <c r="K511" s="523"/>
      <c r="L511" s="524"/>
      <c r="M511" s="361"/>
      <c r="N511" s="362"/>
      <c r="O511" s="365">
        <f>+'11'!U486</f>
        <v>326.04399999999998</v>
      </c>
      <c r="P511" s="438">
        <f>+'11'!AG486</f>
        <v>70.104479999999995</v>
      </c>
      <c r="Q511" s="436">
        <f t="shared" si="10"/>
        <v>21.501539669492463</v>
      </c>
    </row>
    <row r="512" spans="2:19" ht="13.5" thickBot="1" x14ac:dyDescent="0.25">
      <c r="B512" s="521" t="str">
        <f>+'11'!B487:M487</f>
        <v xml:space="preserve">Расходы на обеспечение функций </v>
      </c>
      <c r="C512" s="521"/>
      <c r="D512" s="521"/>
      <c r="E512" s="521"/>
      <c r="F512" s="522"/>
      <c r="G512" s="366" t="str">
        <f>+'11'!Q487</f>
        <v>9500000190</v>
      </c>
      <c r="H512" s="363">
        <f>+'11'!R487</f>
        <v>0</v>
      </c>
      <c r="I512" s="418">
        <f>+'11'!O487</f>
        <v>3</v>
      </c>
      <c r="J512" s="418">
        <f>+'11'!P487</f>
        <v>9</v>
      </c>
      <c r="K512" s="523"/>
      <c r="L512" s="524"/>
      <c r="M512" s="361"/>
      <c r="N512" s="362"/>
      <c r="O512" s="365">
        <f>+'11'!U487</f>
        <v>186.22</v>
      </c>
      <c r="P512" s="438">
        <f>+'11'!AG487</f>
        <v>9.8496000000000006</v>
      </c>
      <c r="Q512" s="436">
        <f t="shared" si="10"/>
        <v>5.2892277950810866</v>
      </c>
    </row>
    <row r="513" spans="2:19" ht="13.5" thickBot="1" x14ac:dyDescent="0.25">
      <c r="B513" s="521" t="str">
        <f>+'11'!B488:M488</f>
        <v>Закупка товаров, работ и услуг для обеспечения государственных (муниципальных) нужд</v>
      </c>
      <c r="C513" s="521"/>
      <c r="D513" s="521"/>
      <c r="E513" s="521"/>
      <c r="F513" s="522"/>
      <c r="G513" s="366" t="str">
        <f>+'11'!Q488</f>
        <v>9500000190</v>
      </c>
      <c r="H513" s="363" t="str">
        <f>+'11'!R488</f>
        <v>200</v>
      </c>
      <c r="I513" s="418">
        <f>+'11'!O488</f>
        <v>3</v>
      </c>
      <c r="J513" s="418">
        <f>+'11'!P488</f>
        <v>9</v>
      </c>
      <c r="K513" s="523"/>
      <c r="L513" s="524"/>
      <c r="M513" s="361"/>
      <c r="N513" s="362"/>
      <c r="O513" s="365">
        <f>+'11'!U488</f>
        <v>186.22</v>
      </c>
      <c r="P513" s="438">
        <f>+'11'!AG488</f>
        <v>9.8496000000000006</v>
      </c>
      <c r="Q513" s="436">
        <f t="shared" si="10"/>
        <v>5.2892277950810866</v>
      </c>
    </row>
    <row r="514" spans="2:19" ht="13.5" thickBot="1" x14ac:dyDescent="0.25">
      <c r="B514" s="521" t="str">
        <f>+'11'!B489:M489</f>
        <v>Иные закупки товаров, работ и услуг для обеспечения государственных (муниципальных) нужд</v>
      </c>
      <c r="C514" s="521"/>
      <c r="D514" s="521"/>
      <c r="E514" s="521"/>
      <c r="F514" s="522"/>
      <c r="G514" s="366" t="str">
        <f>+'11'!Q489</f>
        <v>9500000190</v>
      </c>
      <c r="H514" s="363" t="str">
        <f>+'11'!R489</f>
        <v>240</v>
      </c>
      <c r="I514" s="418">
        <f>+'11'!O489</f>
        <v>3</v>
      </c>
      <c r="J514" s="418">
        <f>+'11'!P489</f>
        <v>9</v>
      </c>
      <c r="K514" s="523"/>
      <c r="L514" s="524"/>
      <c r="M514" s="361"/>
      <c r="N514" s="362"/>
      <c r="O514" s="365">
        <f>+'11'!U489</f>
        <v>186.22</v>
      </c>
      <c r="P514" s="438">
        <f>+'11'!AG489</f>
        <v>9.8496000000000006</v>
      </c>
      <c r="Q514" s="436">
        <f t="shared" si="10"/>
        <v>5.2892277950810866</v>
      </c>
    </row>
    <row r="515" spans="2:19" ht="13.5" thickBot="1" x14ac:dyDescent="0.25">
      <c r="B515" s="521" t="str">
        <f>+'11'!B490:M490</f>
        <v>Закупка товаров, работ, услуг в сфере информационно-коммуникационных технологий</v>
      </c>
      <c r="C515" s="521"/>
      <c r="D515" s="521"/>
      <c r="E515" s="521"/>
      <c r="F515" s="522"/>
      <c r="G515" s="366" t="str">
        <f>+'11'!Q490</f>
        <v>9500000190</v>
      </c>
      <c r="H515" s="363" t="str">
        <f>+'11'!R490</f>
        <v>242</v>
      </c>
      <c r="I515" s="418">
        <f>+'11'!O490</f>
        <v>3</v>
      </c>
      <c r="J515" s="418">
        <f>+'11'!P490</f>
        <v>9</v>
      </c>
      <c r="K515" s="523"/>
      <c r="L515" s="524"/>
      <c r="M515" s="361"/>
      <c r="N515" s="362"/>
      <c r="O515" s="365">
        <f>+'11'!U490</f>
        <v>186.22</v>
      </c>
      <c r="P515" s="438">
        <f>+'11'!AG490</f>
        <v>9.8496000000000006</v>
      </c>
      <c r="Q515" s="436">
        <f t="shared" si="10"/>
        <v>5.2892277950810866</v>
      </c>
    </row>
    <row r="516" spans="2:19" s="419" customFormat="1" ht="30" customHeight="1" thickBot="1" x14ac:dyDescent="0.25">
      <c r="B516" s="525" t="str">
        <f>+'11'!B422:M422</f>
        <v>Непрограммные расходы по предоставлению межбюджетных трансфертов и резервные фонды</v>
      </c>
      <c r="C516" s="525"/>
      <c r="D516" s="525"/>
      <c r="E516" s="525"/>
      <c r="F516" s="526"/>
      <c r="G516" s="420" t="str">
        <f>+'11'!Q422</f>
        <v>9700000000</v>
      </c>
      <c r="H516" s="421">
        <f>+'11'!R422</f>
        <v>0</v>
      </c>
      <c r="I516" s="425">
        <f>+'11'!O422</f>
        <v>1</v>
      </c>
      <c r="J516" s="425">
        <f>+'11'!P422</f>
        <v>11</v>
      </c>
      <c r="K516" s="527"/>
      <c r="L516" s="528"/>
      <c r="M516" s="422"/>
      <c r="N516" s="423"/>
      <c r="O516" s="424">
        <f>+O517+O522+O526</f>
        <v>15877.17</v>
      </c>
      <c r="P516" s="433">
        <f>+P517+P522+P526</f>
        <v>4190.0818499999996</v>
      </c>
      <c r="Q516" s="435">
        <f t="shared" si="10"/>
        <v>26.390608968726792</v>
      </c>
      <c r="R516" s="419">
        <f>+'[1]13'!$M$236</f>
        <v>15877.17</v>
      </c>
      <c r="S516" s="428">
        <f>+R516-O516</f>
        <v>0</v>
      </c>
    </row>
    <row r="517" spans="2:19" ht="13.5" thickBot="1" x14ac:dyDescent="0.25">
      <c r="B517" s="521" t="str">
        <f>+'11'!B423:M423</f>
        <v>Резервный фонд администрации Овюрского кожууна</v>
      </c>
      <c r="C517" s="521"/>
      <c r="D517" s="521"/>
      <c r="E517" s="521"/>
      <c r="F517" s="522"/>
      <c r="G517" s="366" t="str">
        <f>+'11'!Q423</f>
        <v>9700004000</v>
      </c>
      <c r="H517" s="363">
        <f>+'11'!R423</f>
        <v>0</v>
      </c>
      <c r="I517" s="418">
        <f>+'11'!O423</f>
        <v>1</v>
      </c>
      <c r="J517" s="418">
        <f>+'11'!P423</f>
        <v>11</v>
      </c>
      <c r="K517" s="523"/>
      <c r="L517" s="524"/>
      <c r="M517" s="361"/>
      <c r="N517" s="362"/>
      <c r="O517" s="365">
        <f>+O518+O520</f>
        <v>100</v>
      </c>
      <c r="P517" s="434">
        <f>+P518+P520</f>
        <v>20</v>
      </c>
      <c r="Q517" s="436">
        <f t="shared" ref="Q517:Q582" si="11">P517/O517*100</f>
        <v>20</v>
      </c>
    </row>
    <row r="518" spans="2:19" ht="13.5" thickBot="1" x14ac:dyDescent="0.25">
      <c r="B518" s="521" t="str">
        <f>+'11'!B424:M424</f>
        <v>Иные бюджетные ассигнования</v>
      </c>
      <c r="C518" s="521"/>
      <c r="D518" s="521"/>
      <c r="E518" s="521"/>
      <c r="F518" s="522"/>
      <c r="G518" s="366" t="str">
        <f>+'11'!Q424</f>
        <v>9700004000</v>
      </c>
      <c r="H518" s="363" t="str">
        <f>+'11'!R424</f>
        <v>800</v>
      </c>
      <c r="I518" s="418">
        <f>+'11'!O424</f>
        <v>1</v>
      </c>
      <c r="J518" s="418">
        <f>+'11'!P424</f>
        <v>11</v>
      </c>
      <c r="K518" s="523"/>
      <c r="L518" s="524"/>
      <c r="M518" s="361"/>
      <c r="N518" s="362"/>
      <c r="O518" s="365">
        <f>+'11'!U424</f>
        <v>100</v>
      </c>
      <c r="P518" s="438">
        <f>+'11'!AG424</f>
        <v>0</v>
      </c>
      <c r="Q518" s="436">
        <f t="shared" si="11"/>
        <v>0</v>
      </c>
    </row>
    <row r="519" spans="2:19" ht="13.5" thickBot="1" x14ac:dyDescent="0.25">
      <c r="B519" s="521" t="str">
        <f>+'11'!B425:M425</f>
        <v>Резервные средства</v>
      </c>
      <c r="C519" s="521"/>
      <c r="D519" s="521"/>
      <c r="E519" s="521"/>
      <c r="F519" s="522"/>
      <c r="G519" s="366" t="str">
        <f>+'11'!Q425</f>
        <v>9700004000</v>
      </c>
      <c r="H519" s="363" t="str">
        <f>+'11'!R425</f>
        <v>870</v>
      </c>
      <c r="I519" s="418">
        <f>+'11'!O425</f>
        <v>1</v>
      </c>
      <c r="J519" s="418">
        <f>+'11'!P425</f>
        <v>11</v>
      </c>
      <c r="K519" s="523"/>
      <c r="L519" s="524"/>
      <c r="M519" s="361"/>
      <c r="N519" s="362"/>
      <c r="O519" s="365">
        <f>+'11'!U425</f>
        <v>100</v>
      </c>
      <c r="P519" s="438">
        <f>+'11'!AG425</f>
        <v>0</v>
      </c>
      <c r="Q519" s="436">
        <f t="shared" si="11"/>
        <v>0</v>
      </c>
    </row>
    <row r="520" spans="2:19" ht="13.5" thickBot="1" x14ac:dyDescent="0.25">
      <c r="B520" s="521" t="str">
        <f>+'11'!B569:M569</f>
        <v>Социальное обеспечение и иные выплаты населению</v>
      </c>
      <c r="C520" s="521"/>
      <c r="D520" s="521"/>
      <c r="E520" s="521"/>
      <c r="F520" s="522"/>
      <c r="G520" s="366" t="str">
        <f>+'11'!Q569</f>
        <v>9700004000</v>
      </c>
      <c r="H520" s="363" t="str">
        <f>+'11'!R569</f>
        <v>300</v>
      </c>
      <c r="I520" s="418">
        <f>+'11'!O569</f>
        <v>10</v>
      </c>
      <c r="J520" s="418">
        <f>+'11'!P569</f>
        <v>3</v>
      </c>
      <c r="K520" s="523"/>
      <c r="L520" s="524"/>
      <c r="M520" s="361"/>
      <c r="N520" s="362"/>
      <c r="O520" s="365">
        <f>+'11'!U569</f>
        <v>0</v>
      </c>
      <c r="P520" s="438">
        <f>+'11'!AG569</f>
        <v>20</v>
      </c>
      <c r="Q520" s="436">
        <v>0</v>
      </c>
    </row>
    <row r="521" spans="2:19" ht="13.5" thickBot="1" x14ac:dyDescent="0.25">
      <c r="B521" s="521" t="str">
        <f>+'11'!B570:M570</f>
        <v>Иные выплаты населению</v>
      </c>
      <c r="C521" s="521"/>
      <c r="D521" s="521"/>
      <c r="E521" s="521"/>
      <c r="F521" s="522"/>
      <c r="G521" s="366" t="str">
        <f>+'11'!Q570</f>
        <v>9700004000</v>
      </c>
      <c r="H521" s="363" t="str">
        <f>+'11'!R570</f>
        <v>360</v>
      </c>
      <c r="I521" s="418">
        <f>+'11'!O570</f>
        <v>10</v>
      </c>
      <c r="J521" s="418">
        <f>+'11'!P570</f>
        <v>3</v>
      </c>
      <c r="K521" s="523"/>
      <c r="L521" s="524"/>
      <c r="M521" s="361"/>
      <c r="N521" s="362"/>
      <c r="O521" s="365">
        <f>+'11'!U570</f>
        <v>0</v>
      </c>
      <c r="P521" s="438">
        <f>+'11'!AG570</f>
        <v>20</v>
      </c>
      <c r="Q521" s="436">
        <v>0</v>
      </c>
    </row>
    <row r="522" spans="2:19" ht="13.5" thickBot="1" x14ac:dyDescent="0.25">
      <c r="B522" s="521" t="str">
        <f>+'11'!B639:M639</f>
        <v>Дотации на выравнивание бюджетной обеспеченности</v>
      </c>
      <c r="C522" s="521"/>
      <c r="D522" s="521"/>
      <c r="E522" s="521"/>
      <c r="F522" s="522"/>
      <c r="G522" s="366" t="str">
        <f>+'11'!Q639</f>
        <v>9700020010</v>
      </c>
      <c r="H522" s="363">
        <f>+'11'!R639</f>
        <v>0</v>
      </c>
      <c r="I522" s="418">
        <f>+'11'!O639</f>
        <v>14</v>
      </c>
      <c r="J522" s="418">
        <f>+'11'!P639</f>
        <v>1</v>
      </c>
      <c r="K522" s="523"/>
      <c r="L522" s="524"/>
      <c r="M522" s="361"/>
      <c r="N522" s="362"/>
      <c r="O522" s="365">
        <f>+'11'!U639</f>
        <v>14844.97</v>
      </c>
      <c r="P522" s="438">
        <f>+'11'!AG639</f>
        <v>4170.0818499999996</v>
      </c>
      <c r="Q522" s="436">
        <f t="shared" si="11"/>
        <v>28.090874215306599</v>
      </c>
    </row>
    <row r="523" spans="2:19" ht="13.5" thickBot="1" x14ac:dyDescent="0.25">
      <c r="B523" s="521" t="str">
        <f>+'11'!B640:M640</f>
        <v>Межбюджетные трансферты</v>
      </c>
      <c r="C523" s="521"/>
      <c r="D523" s="521"/>
      <c r="E523" s="521"/>
      <c r="F523" s="522"/>
      <c r="G523" s="366" t="str">
        <f>+'11'!Q640</f>
        <v>9700020010</v>
      </c>
      <c r="H523" s="363" t="str">
        <f>+'11'!R640</f>
        <v>500</v>
      </c>
      <c r="I523" s="418">
        <f>+'11'!O640</f>
        <v>14</v>
      </c>
      <c r="J523" s="418">
        <f>+'11'!P640</f>
        <v>1</v>
      </c>
      <c r="K523" s="523"/>
      <c r="L523" s="524"/>
      <c r="M523" s="361"/>
      <c r="N523" s="362"/>
      <c r="O523" s="365">
        <f>+'11'!U640</f>
        <v>14844.97</v>
      </c>
      <c r="P523" s="438">
        <f>+'11'!AG640</f>
        <v>4170.0818499999996</v>
      </c>
      <c r="Q523" s="436">
        <f t="shared" si="11"/>
        <v>28.090874215306599</v>
      </c>
    </row>
    <row r="524" spans="2:19" ht="13.5" thickBot="1" x14ac:dyDescent="0.25">
      <c r="B524" s="521" t="str">
        <f>+'11'!B641:M641</f>
        <v>Дотации</v>
      </c>
      <c r="C524" s="521"/>
      <c r="D524" s="521"/>
      <c r="E524" s="521"/>
      <c r="F524" s="522"/>
      <c r="G524" s="366" t="str">
        <f>+'11'!Q641</f>
        <v>9700020010</v>
      </c>
      <c r="H524" s="363" t="str">
        <f>+'11'!R641</f>
        <v>510</v>
      </c>
      <c r="I524" s="418">
        <f>+'11'!O641</f>
        <v>14</v>
      </c>
      <c r="J524" s="418">
        <f>+'11'!P641</f>
        <v>1</v>
      </c>
      <c r="K524" s="523"/>
      <c r="L524" s="524"/>
      <c r="M524" s="361"/>
      <c r="N524" s="362"/>
      <c r="O524" s="365">
        <f>+'11'!U641</f>
        <v>14844.97</v>
      </c>
      <c r="P524" s="438">
        <f>+'11'!AG641</f>
        <v>4170.0818499999996</v>
      </c>
      <c r="Q524" s="436">
        <f t="shared" si="11"/>
        <v>28.090874215306599</v>
      </c>
    </row>
    <row r="525" spans="2:19" ht="13.5" thickBot="1" x14ac:dyDescent="0.25">
      <c r="B525" s="521" t="str">
        <f>+'11'!B642:M642</f>
        <v>Дотации на выравнивание бюджетной обеспеченности</v>
      </c>
      <c r="C525" s="521"/>
      <c r="D525" s="521"/>
      <c r="E525" s="521"/>
      <c r="F525" s="522"/>
      <c r="G525" s="366" t="str">
        <f>+'11'!Q642</f>
        <v>9700020010</v>
      </c>
      <c r="H525" s="363" t="str">
        <f>+'11'!R642</f>
        <v>511</v>
      </c>
      <c r="I525" s="418">
        <f>+'11'!O642</f>
        <v>14</v>
      </c>
      <c r="J525" s="418">
        <f>+'11'!P642</f>
        <v>1</v>
      </c>
      <c r="K525" s="523"/>
      <c r="L525" s="524"/>
      <c r="M525" s="361"/>
      <c r="N525" s="362"/>
      <c r="O525" s="365">
        <f>+'11'!U642</f>
        <v>14844.97</v>
      </c>
      <c r="P525" s="438">
        <f>+'11'!AG642</f>
        <v>4170.0818499999996</v>
      </c>
      <c r="Q525" s="436">
        <f t="shared" si="11"/>
        <v>28.090874215306599</v>
      </c>
    </row>
    <row r="526" spans="2:19" ht="13.5" thickBot="1" x14ac:dyDescent="0.25">
      <c r="B526" s="521" t="str">
        <f>+'11'!B645:M645</f>
        <v>Дотации на поддержку мер по обеспечению сбалансированности бюджетов</v>
      </c>
      <c r="C526" s="521"/>
      <c r="D526" s="521"/>
      <c r="E526" s="521"/>
      <c r="F526" s="522"/>
      <c r="G526" s="366" t="str">
        <f>+'11'!Q645</f>
        <v>9700020020</v>
      </c>
      <c r="H526" s="363">
        <f>+'11'!R645</f>
        <v>0</v>
      </c>
      <c r="I526" s="418">
        <f>+'11'!O645</f>
        <v>14</v>
      </c>
      <c r="J526" s="418">
        <f>+'11'!P645</f>
        <v>2</v>
      </c>
      <c r="K526" s="523"/>
      <c r="L526" s="524"/>
      <c r="M526" s="361"/>
      <c r="N526" s="362"/>
      <c r="O526" s="365">
        <f>+'11'!U645</f>
        <v>932.2</v>
      </c>
      <c r="P526" s="438">
        <f>+'11'!AG645</f>
        <v>0</v>
      </c>
      <c r="Q526" s="436">
        <f t="shared" si="11"/>
        <v>0</v>
      </c>
    </row>
    <row r="527" spans="2:19" ht="13.5" thickBot="1" x14ac:dyDescent="0.25">
      <c r="B527" s="521" t="str">
        <f>+'11'!B646:M646</f>
        <v>Межбюджетные трансферты</v>
      </c>
      <c r="C527" s="521"/>
      <c r="D527" s="521"/>
      <c r="E527" s="521"/>
      <c r="F527" s="522"/>
      <c r="G527" s="366" t="str">
        <f>+'11'!Q646</f>
        <v>9700020020</v>
      </c>
      <c r="H527" s="363" t="str">
        <f>+'11'!R646</f>
        <v>500</v>
      </c>
      <c r="I527" s="418">
        <f>+'11'!O646</f>
        <v>14</v>
      </c>
      <c r="J527" s="418">
        <f>+'11'!P646</f>
        <v>2</v>
      </c>
      <c r="K527" s="523"/>
      <c r="L527" s="524"/>
      <c r="M527" s="361"/>
      <c r="N527" s="362"/>
      <c r="O527" s="365">
        <f>+'11'!U646</f>
        <v>932.2</v>
      </c>
      <c r="P527" s="438">
        <f>+'11'!AG646</f>
        <v>0</v>
      </c>
      <c r="Q527" s="436">
        <f t="shared" si="11"/>
        <v>0</v>
      </c>
    </row>
    <row r="528" spans="2:19" ht="13.5" thickBot="1" x14ac:dyDescent="0.25">
      <c r="B528" s="521" t="str">
        <f>+'11'!B647:M647</f>
        <v>Дотации</v>
      </c>
      <c r="C528" s="521"/>
      <c r="D528" s="521"/>
      <c r="E528" s="521"/>
      <c r="F528" s="522"/>
      <c r="G528" s="366" t="str">
        <f>+'11'!Q647</f>
        <v>9700020020</v>
      </c>
      <c r="H528" s="363" t="str">
        <f>+'11'!R647</f>
        <v>510</v>
      </c>
      <c r="I528" s="418">
        <f>+'11'!O647</f>
        <v>14</v>
      </c>
      <c r="J528" s="418">
        <f>+'11'!P647</f>
        <v>2</v>
      </c>
      <c r="K528" s="523"/>
      <c r="L528" s="524"/>
      <c r="M528" s="361"/>
      <c r="N528" s="362"/>
      <c r="O528" s="365">
        <f>+'11'!U647</f>
        <v>932.2</v>
      </c>
      <c r="P528" s="438">
        <f>+'11'!AG647</f>
        <v>0</v>
      </c>
      <c r="Q528" s="436">
        <f t="shared" si="11"/>
        <v>0</v>
      </c>
    </row>
    <row r="529" spans="2:19" ht="13.5" thickBot="1" x14ac:dyDescent="0.25">
      <c r="B529" s="521" t="str">
        <f>+'11'!B648:M648</f>
        <v>Иные дотации</v>
      </c>
      <c r="C529" s="521"/>
      <c r="D529" s="521"/>
      <c r="E529" s="521"/>
      <c r="F529" s="522"/>
      <c r="G529" s="366" t="str">
        <f>+'11'!Q648</f>
        <v>9700020020</v>
      </c>
      <c r="H529" s="363" t="str">
        <f>+'11'!R648</f>
        <v>512</v>
      </c>
      <c r="I529" s="418">
        <f>+'11'!O648</f>
        <v>14</v>
      </c>
      <c r="J529" s="418">
        <f>+'11'!P648</f>
        <v>2</v>
      </c>
      <c r="K529" s="523"/>
      <c r="L529" s="524"/>
      <c r="M529" s="361"/>
      <c r="N529" s="362"/>
      <c r="O529" s="365">
        <f>+'11'!U648</f>
        <v>932.2</v>
      </c>
      <c r="P529" s="438">
        <f>+'11'!AG648</f>
        <v>0</v>
      </c>
      <c r="Q529" s="436">
        <f t="shared" si="11"/>
        <v>0</v>
      </c>
    </row>
    <row r="530" spans="2:19" s="419" customFormat="1" ht="34.5" customHeight="1" thickBot="1" x14ac:dyDescent="0.25">
      <c r="B530" s="525" t="str">
        <f>+'11'!B470:M470</f>
        <v>Непрограммные расходы на реализацию переданных полномочий Российской Федерации и субъекта Российской Федерации</v>
      </c>
      <c r="C530" s="525"/>
      <c r="D530" s="525"/>
      <c r="E530" s="525"/>
      <c r="F530" s="526"/>
      <c r="G530" s="420" t="str">
        <f>+'11'!Q470</f>
        <v>9900000000</v>
      </c>
      <c r="H530" s="421">
        <f>+'11'!R470</f>
        <v>0</v>
      </c>
      <c r="I530" s="425">
        <f>+'11'!O470</f>
        <v>2</v>
      </c>
      <c r="J530" s="425">
        <f>+'11'!P470</f>
        <v>3</v>
      </c>
      <c r="K530" s="527"/>
      <c r="L530" s="528"/>
      <c r="M530" s="422"/>
      <c r="N530" s="423"/>
      <c r="O530" s="424">
        <f>+O531+O539+O541+O545+O548+O551+O558+O564+O574</f>
        <v>3661.1169999999997</v>
      </c>
      <c r="P530" s="433">
        <f>+P531+P539+P541+P545+P548+P551+P558+P564+P574</f>
        <v>622.73250000000007</v>
      </c>
      <c r="Q530" s="435">
        <f t="shared" si="11"/>
        <v>17.009358072959703</v>
      </c>
      <c r="R530" s="419">
        <f>+'[1]13'!$M$239</f>
        <v>3661.1170000000002</v>
      </c>
      <c r="S530" s="428">
        <f>+R530-O530</f>
        <v>0</v>
      </c>
    </row>
    <row r="531" spans="2:19" ht="13.5" thickBot="1" x14ac:dyDescent="0.25">
      <c r="B531" s="521" t="str">
        <f>+'11'!B471:M471</f>
        <v>Субвенции на осуществление первичного воинского учета на территориях, где отсутствуют военные комиссариаты</v>
      </c>
      <c r="C531" s="521"/>
      <c r="D531" s="521"/>
      <c r="E531" s="521"/>
      <c r="F531" s="522"/>
      <c r="G531" s="366" t="str">
        <f>+'11'!Q471</f>
        <v>9900051180</v>
      </c>
      <c r="H531" s="363">
        <f>+'11'!R471</f>
        <v>0</v>
      </c>
      <c r="I531" s="418">
        <f>+'11'!O471</f>
        <v>2</v>
      </c>
      <c r="J531" s="418">
        <f>+'11'!P471</f>
        <v>3</v>
      </c>
      <c r="K531" s="523"/>
      <c r="L531" s="524"/>
      <c r="M531" s="361"/>
      <c r="N531" s="362"/>
      <c r="O531" s="365">
        <f>+'11'!U471</f>
        <v>414.1</v>
      </c>
      <c r="P531" s="438">
        <f>+'11'!AG471</f>
        <v>92.769959999999998</v>
      </c>
      <c r="Q531" s="436">
        <f t="shared" si="11"/>
        <v>22.402791596232792</v>
      </c>
    </row>
    <row r="532" spans="2:19" ht="13.5" thickBot="1" x14ac:dyDescent="0.25">
      <c r="B532" s="521" t="str">
        <f>+'11'!B472:M472</f>
        <v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v>
      </c>
      <c r="C532" s="521"/>
      <c r="D532" s="521"/>
      <c r="E532" s="521"/>
      <c r="F532" s="522"/>
      <c r="G532" s="366" t="str">
        <f>+'11'!Q472</f>
        <v>9900051180</v>
      </c>
      <c r="H532" s="363" t="str">
        <f>+'11'!R472</f>
        <v>100</v>
      </c>
      <c r="I532" s="418">
        <f>+'11'!O472</f>
        <v>2</v>
      </c>
      <c r="J532" s="418">
        <f>+'11'!P472</f>
        <v>3</v>
      </c>
      <c r="K532" s="523"/>
      <c r="L532" s="524"/>
      <c r="M532" s="361"/>
      <c r="N532" s="362"/>
      <c r="O532" s="365">
        <f>+'11'!U472</f>
        <v>368</v>
      </c>
      <c r="P532" s="438">
        <f>+'11'!AG472</f>
        <v>92.769959999999998</v>
      </c>
      <c r="Q532" s="436">
        <f t="shared" si="11"/>
        <v>25.209228260869565</v>
      </c>
    </row>
    <row r="533" spans="2:19" ht="13.5" thickBot="1" x14ac:dyDescent="0.25">
      <c r="B533" s="521" t="str">
        <f>+'11'!B473:M473</f>
        <v>Расходы на выплаты персоналу государственных (муниципальных) органов</v>
      </c>
      <c r="C533" s="521"/>
      <c r="D533" s="521"/>
      <c r="E533" s="521"/>
      <c r="F533" s="522"/>
      <c r="G533" s="366" t="str">
        <f>+'11'!Q473</f>
        <v>9900051180</v>
      </c>
      <c r="H533" s="363" t="str">
        <f>+'11'!R473</f>
        <v>120</v>
      </c>
      <c r="I533" s="418">
        <f>+'11'!O473</f>
        <v>2</v>
      </c>
      <c r="J533" s="418">
        <f>+'11'!P473</f>
        <v>3</v>
      </c>
      <c r="K533" s="523"/>
      <c r="L533" s="524"/>
      <c r="M533" s="361"/>
      <c r="N533" s="362"/>
      <c r="O533" s="365">
        <f>+'11'!U473</f>
        <v>368</v>
      </c>
      <c r="P533" s="438">
        <f>+'11'!AG473</f>
        <v>92.769959999999998</v>
      </c>
      <c r="Q533" s="436">
        <f t="shared" si="11"/>
        <v>25.209228260869565</v>
      </c>
    </row>
    <row r="534" spans="2:19" ht="13.5" thickBot="1" x14ac:dyDescent="0.25">
      <c r="B534" s="521" t="str">
        <f>+'11'!B474:M474</f>
        <v>Фонд оплаты труда государственных (муниципальных) органов</v>
      </c>
      <c r="C534" s="521"/>
      <c r="D534" s="521"/>
      <c r="E534" s="521"/>
      <c r="F534" s="522"/>
      <c r="G534" s="366" t="str">
        <f>+'11'!Q474</f>
        <v>9900051180</v>
      </c>
      <c r="H534" s="363" t="str">
        <f>+'11'!R474</f>
        <v>121</v>
      </c>
      <c r="I534" s="418">
        <f>+'11'!O474</f>
        <v>2</v>
      </c>
      <c r="J534" s="418">
        <f>+'11'!P474</f>
        <v>3</v>
      </c>
      <c r="K534" s="523"/>
      <c r="L534" s="524"/>
      <c r="M534" s="361"/>
      <c r="N534" s="362"/>
      <c r="O534" s="365">
        <f>+'11'!U474</f>
        <v>282.64</v>
      </c>
      <c r="P534" s="438">
        <f>+'11'!AG474</f>
        <v>71.251890000000003</v>
      </c>
      <c r="Q534" s="436">
        <f t="shared" si="11"/>
        <v>25.20941480328333</v>
      </c>
    </row>
    <row r="535" spans="2:19" ht="13.5" thickBot="1" x14ac:dyDescent="0.25">
      <c r="B535" s="521" t="str">
        <f>+'11'!B475:M475</f>
        <v>Взносы по обязательному социальному страхованию на выплаты денежного содержания и иные выплаты работникам государственных (муниципальных) органов</v>
      </c>
      <c r="C535" s="521"/>
      <c r="D535" s="521"/>
      <c r="E535" s="521"/>
      <c r="F535" s="522"/>
      <c r="G535" s="366" t="str">
        <f>+'11'!Q475</f>
        <v>9900051180</v>
      </c>
      <c r="H535" s="363" t="str">
        <f>+'11'!R475</f>
        <v>129</v>
      </c>
      <c r="I535" s="418">
        <f>+'11'!O475</f>
        <v>2</v>
      </c>
      <c r="J535" s="418">
        <f>+'11'!P475</f>
        <v>3</v>
      </c>
      <c r="K535" s="523"/>
      <c r="L535" s="524"/>
      <c r="M535" s="361"/>
      <c r="N535" s="362"/>
      <c r="O535" s="365">
        <f>+'11'!U475</f>
        <v>85.36</v>
      </c>
      <c r="P535" s="438">
        <f>+'11'!AG475</f>
        <v>21.518070000000002</v>
      </c>
      <c r="Q535" s="436">
        <f t="shared" si="11"/>
        <v>25.20861059044049</v>
      </c>
    </row>
    <row r="536" spans="2:19" ht="13.5" thickBot="1" x14ac:dyDescent="0.25">
      <c r="B536" s="521" t="str">
        <f>+'11'!B476:M476</f>
        <v>Закупка товаров, работ и услуг для обеспечения государственных (муниципальных) нужд</v>
      </c>
      <c r="C536" s="521"/>
      <c r="D536" s="521"/>
      <c r="E536" s="521"/>
      <c r="F536" s="522"/>
      <c r="G536" s="366" t="str">
        <f>+'11'!Q476</f>
        <v>9900051180</v>
      </c>
      <c r="H536" s="363" t="str">
        <f>+'11'!R476</f>
        <v>200</v>
      </c>
      <c r="I536" s="418">
        <f>+'11'!O476</f>
        <v>2</v>
      </c>
      <c r="J536" s="418">
        <f>+'11'!P476</f>
        <v>3</v>
      </c>
      <c r="K536" s="523"/>
      <c r="L536" s="524"/>
      <c r="M536" s="361"/>
      <c r="N536" s="362"/>
      <c r="O536" s="365">
        <f>+'11'!U476</f>
        <v>46.1</v>
      </c>
      <c r="P536" s="438">
        <f>+'11'!AG476</f>
        <v>0</v>
      </c>
      <c r="Q536" s="436">
        <f t="shared" si="11"/>
        <v>0</v>
      </c>
    </row>
    <row r="537" spans="2:19" ht="13.5" thickBot="1" x14ac:dyDescent="0.25">
      <c r="B537" s="521" t="str">
        <f>+'11'!B477:M477</f>
        <v>Иные закупки товаров, работ и услуг для обеспечения государственных (муниципальных) нужд</v>
      </c>
      <c r="C537" s="521"/>
      <c r="D537" s="521"/>
      <c r="E537" s="521"/>
      <c r="F537" s="522"/>
      <c r="G537" s="366" t="str">
        <f>+'11'!Q477</f>
        <v>9900051180</v>
      </c>
      <c r="H537" s="363" t="str">
        <f>+'11'!R477</f>
        <v>240</v>
      </c>
      <c r="I537" s="418">
        <f>+'11'!O477</f>
        <v>2</v>
      </c>
      <c r="J537" s="418">
        <f>+'11'!P477</f>
        <v>3</v>
      </c>
      <c r="K537" s="523"/>
      <c r="L537" s="524"/>
      <c r="M537" s="361"/>
      <c r="N537" s="362"/>
      <c r="O537" s="365">
        <f>+'11'!U477</f>
        <v>46.1</v>
      </c>
      <c r="P537" s="438">
        <f>+'11'!AG477</f>
        <v>0</v>
      </c>
      <c r="Q537" s="436">
        <f t="shared" si="11"/>
        <v>0</v>
      </c>
    </row>
    <row r="538" spans="2:19" ht="13.5" thickBot="1" x14ac:dyDescent="0.25">
      <c r="B538" s="521" t="str">
        <f>+'11'!B478:M478</f>
        <v>Прочая закупка товаров, работ и услуг</v>
      </c>
      <c r="C538" s="521"/>
      <c r="D538" s="521"/>
      <c r="E538" s="521"/>
      <c r="F538" s="522"/>
      <c r="G538" s="366" t="str">
        <f>+'11'!Q478</f>
        <v>9900051180</v>
      </c>
      <c r="H538" s="363" t="str">
        <f>+'11'!R478</f>
        <v>244</v>
      </c>
      <c r="I538" s="418">
        <f>+'11'!O478</f>
        <v>2</v>
      </c>
      <c r="J538" s="418">
        <f>+'11'!P478</f>
        <v>3</v>
      </c>
      <c r="K538" s="523"/>
      <c r="L538" s="524"/>
      <c r="M538" s="361"/>
      <c r="N538" s="362"/>
      <c r="O538" s="365">
        <f>+'11'!U478</f>
        <v>46.1</v>
      </c>
      <c r="P538" s="438">
        <f>+'11'!AG478</f>
        <v>0</v>
      </c>
      <c r="Q538" s="436">
        <f t="shared" si="11"/>
        <v>0</v>
      </c>
    </row>
    <row r="539" spans="2:19" ht="13.5" thickBot="1" x14ac:dyDescent="0.25">
      <c r="B539" s="521" t="str">
        <f>+'11'!B634:M634</f>
        <v>Межбюджетные трансферты</v>
      </c>
      <c r="C539" s="521"/>
      <c r="D539" s="521"/>
      <c r="E539" s="521"/>
      <c r="F539" s="522"/>
      <c r="G539" s="366" t="str">
        <f>+'11'!Q634</f>
        <v>9900051180</v>
      </c>
      <c r="H539" s="363" t="str">
        <f>+'11'!R634</f>
        <v>500</v>
      </c>
      <c r="I539" s="418">
        <f>+'11'!O634</f>
        <v>2</v>
      </c>
      <c r="J539" s="418">
        <f>+'11'!P634</f>
        <v>3</v>
      </c>
      <c r="K539" s="523"/>
      <c r="L539" s="524"/>
      <c r="M539" s="361"/>
      <c r="N539" s="362"/>
      <c r="O539" s="365">
        <f>+'11'!U634</f>
        <v>706.7</v>
      </c>
      <c r="P539" s="438">
        <f>+'11'!AG634</f>
        <v>176.67599999999999</v>
      </c>
      <c r="Q539" s="436">
        <f t="shared" si="11"/>
        <v>25.000141502759298</v>
      </c>
    </row>
    <row r="540" spans="2:19" ht="13.5" thickBot="1" x14ac:dyDescent="0.25">
      <c r="B540" s="521" t="str">
        <f>+'11'!B635:M635</f>
        <v>Субвенции</v>
      </c>
      <c r="C540" s="521"/>
      <c r="D540" s="521"/>
      <c r="E540" s="521"/>
      <c r="F540" s="522"/>
      <c r="G540" s="366" t="str">
        <f>+'11'!Q635</f>
        <v>9900051180</v>
      </c>
      <c r="H540" s="363" t="str">
        <f>+'11'!R635</f>
        <v>530</v>
      </c>
      <c r="I540" s="418">
        <f>+'11'!O635</f>
        <v>2</v>
      </c>
      <c r="J540" s="418">
        <f>+'11'!P635</f>
        <v>3</v>
      </c>
      <c r="K540" s="523"/>
      <c r="L540" s="524"/>
      <c r="M540" s="361"/>
      <c r="N540" s="362"/>
      <c r="O540" s="365">
        <f>+'11'!U635</f>
        <v>706.7</v>
      </c>
      <c r="P540" s="438">
        <f>+'11'!AG635</f>
        <v>176.67599999999999</v>
      </c>
      <c r="Q540" s="436">
        <f t="shared" si="11"/>
        <v>25.000141502759298</v>
      </c>
    </row>
    <row r="541" spans="2:19" ht="13.5" thickBot="1" x14ac:dyDescent="0.25">
      <c r="B541" s="521" t="str">
        <f>+'11'!B417:M417</f>
        <v>Субвенции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v>
      </c>
      <c r="C541" s="521"/>
      <c r="D541" s="521"/>
      <c r="E541" s="521"/>
      <c r="F541" s="522"/>
      <c r="G541" s="366" t="str">
        <f>+'11'!Q417</f>
        <v>9900051200</v>
      </c>
      <c r="H541" s="363">
        <f>+'11'!R417</f>
        <v>0</v>
      </c>
      <c r="I541" s="418">
        <f>+'11'!O417</f>
        <v>1</v>
      </c>
      <c r="J541" s="418">
        <f>+'11'!P417</f>
        <v>5</v>
      </c>
      <c r="K541" s="523"/>
      <c r="L541" s="524"/>
      <c r="M541" s="361"/>
      <c r="N541" s="362"/>
      <c r="O541" s="365">
        <f>+'11'!U417</f>
        <v>18.600000000000001</v>
      </c>
      <c r="P541" s="438">
        <f>+'11'!AG417</f>
        <v>0</v>
      </c>
      <c r="Q541" s="436">
        <f t="shared" si="11"/>
        <v>0</v>
      </c>
    </row>
    <row r="542" spans="2:19" ht="13.5" thickBot="1" x14ac:dyDescent="0.25">
      <c r="B542" s="521" t="str">
        <f>+'11'!B418:M418</f>
        <v>Закупка товаров, работ и услуг для обеспечения государственных (муниципальных) нужд</v>
      </c>
      <c r="C542" s="521"/>
      <c r="D542" s="521"/>
      <c r="E542" s="521"/>
      <c r="F542" s="522"/>
      <c r="G542" s="366" t="str">
        <f>+'11'!Q418</f>
        <v>9900051200</v>
      </c>
      <c r="H542" s="363" t="str">
        <f>+'11'!R418</f>
        <v>200</v>
      </c>
      <c r="I542" s="418">
        <f>+'11'!O418</f>
        <v>1</v>
      </c>
      <c r="J542" s="418">
        <f>+'11'!P418</f>
        <v>5</v>
      </c>
      <c r="K542" s="523"/>
      <c r="L542" s="524"/>
      <c r="M542" s="361"/>
      <c r="N542" s="362"/>
      <c r="O542" s="365">
        <f>+'11'!U418</f>
        <v>18.600000000000001</v>
      </c>
      <c r="P542" s="438">
        <f>+'11'!AG418</f>
        <v>0</v>
      </c>
      <c r="Q542" s="436">
        <f t="shared" si="11"/>
        <v>0</v>
      </c>
    </row>
    <row r="543" spans="2:19" ht="13.5" thickBot="1" x14ac:dyDescent="0.25">
      <c r="B543" s="521" t="str">
        <f>+'11'!B419:M419</f>
        <v>Иные закупки товаров, работ и услуг для обеспечения государственных (муниципальных) нужд</v>
      </c>
      <c r="C543" s="521"/>
      <c r="D543" s="521"/>
      <c r="E543" s="521"/>
      <c r="F543" s="522"/>
      <c r="G543" s="366" t="str">
        <f>+'11'!Q419</f>
        <v>9900051200</v>
      </c>
      <c r="H543" s="363" t="str">
        <f>+'11'!R419</f>
        <v>240</v>
      </c>
      <c r="I543" s="418">
        <f>+'11'!O419</f>
        <v>1</v>
      </c>
      <c r="J543" s="418">
        <f>+'11'!P419</f>
        <v>5</v>
      </c>
      <c r="K543" s="523"/>
      <c r="L543" s="524"/>
      <c r="M543" s="361"/>
      <c r="N543" s="362"/>
      <c r="O543" s="365">
        <f>+'11'!U419</f>
        <v>18.600000000000001</v>
      </c>
      <c r="P543" s="438">
        <f>+'11'!AG419</f>
        <v>0</v>
      </c>
      <c r="Q543" s="436">
        <f t="shared" si="11"/>
        <v>0</v>
      </c>
    </row>
    <row r="544" spans="2:19" ht="13.5" thickBot="1" x14ac:dyDescent="0.25">
      <c r="B544" s="521" t="str">
        <f>+'11'!B420:M420</f>
        <v>Прочая закупка товаров, работ и услуг</v>
      </c>
      <c r="C544" s="521"/>
      <c r="D544" s="521"/>
      <c r="E544" s="521"/>
      <c r="F544" s="522"/>
      <c r="G544" s="366" t="str">
        <f>+'11'!Q420</f>
        <v>9900051200</v>
      </c>
      <c r="H544" s="363" t="str">
        <f>+'11'!R420</f>
        <v>244</v>
      </c>
      <c r="I544" s="418">
        <f>+'11'!O420</f>
        <v>1</v>
      </c>
      <c r="J544" s="418">
        <f>+'11'!P420</f>
        <v>5</v>
      </c>
      <c r="K544" s="523"/>
      <c r="L544" s="524"/>
      <c r="M544" s="361"/>
      <c r="N544" s="362"/>
      <c r="O544" s="365">
        <f>+'11'!U420</f>
        <v>18.600000000000001</v>
      </c>
      <c r="P544" s="438">
        <f>+'11'!AG420</f>
        <v>0</v>
      </c>
      <c r="Q544" s="436">
        <f t="shared" si="11"/>
        <v>0</v>
      </c>
    </row>
    <row r="545" spans="2:17" ht="13.5" thickBot="1" x14ac:dyDescent="0.25">
      <c r="B545" s="521" t="str">
        <f>+'11'!B651:M651</f>
        <v>Субсидии на долевое финансирование расходов на оплату коммунальных услуг (в отношении расходов по оплате электрической и тепловой энергии, водоснабжения), приобретение котельно-печного топлива для казенных, бюджетных и автономных учреждений (с учетом доставки и услуг поставщика)</v>
      </c>
      <c r="C545" s="521"/>
      <c r="D545" s="521"/>
      <c r="E545" s="521"/>
      <c r="F545" s="522"/>
      <c r="G545" s="366" t="str">
        <f>+'11'!Q651</f>
        <v>9900070020</v>
      </c>
      <c r="H545" s="363">
        <f>+'11'!R651</f>
        <v>0</v>
      </c>
      <c r="I545" s="418">
        <f>+'11'!O651</f>
        <v>14</v>
      </c>
      <c r="J545" s="418">
        <f>+'11'!P651</f>
        <v>3</v>
      </c>
      <c r="K545" s="523"/>
      <c r="L545" s="524"/>
      <c r="M545" s="361"/>
      <c r="N545" s="362"/>
      <c r="O545" s="365">
        <f>+'11'!U651</f>
        <v>595.13599999999997</v>
      </c>
      <c r="P545" s="438">
        <f>+'11'!AG651</f>
        <v>178.84593000000001</v>
      </c>
      <c r="Q545" s="436">
        <f t="shared" si="11"/>
        <v>30.051270633939136</v>
      </c>
    </row>
    <row r="546" spans="2:17" ht="13.5" thickBot="1" x14ac:dyDescent="0.25">
      <c r="B546" s="521" t="str">
        <f>+'11'!B652:M652</f>
        <v>Межбюджетные трансферты</v>
      </c>
      <c r="C546" s="521"/>
      <c r="D546" s="521"/>
      <c r="E546" s="521"/>
      <c r="F546" s="522"/>
      <c r="G546" s="366" t="str">
        <f>+'11'!Q652</f>
        <v>9900070020</v>
      </c>
      <c r="H546" s="363" t="str">
        <f>+'11'!R652</f>
        <v>500</v>
      </c>
      <c r="I546" s="418">
        <f>+'11'!O652</f>
        <v>14</v>
      </c>
      <c r="J546" s="418">
        <f>+'11'!P652</f>
        <v>3</v>
      </c>
      <c r="K546" s="523"/>
      <c r="L546" s="524"/>
      <c r="M546" s="361"/>
      <c r="N546" s="362"/>
      <c r="O546" s="365">
        <f>+'11'!U652</f>
        <v>595.13599999999997</v>
      </c>
      <c r="P546" s="438">
        <f>+'11'!AG652</f>
        <v>178.84593000000001</v>
      </c>
      <c r="Q546" s="436">
        <f t="shared" si="11"/>
        <v>30.051270633939136</v>
      </c>
    </row>
    <row r="547" spans="2:17" ht="13.5" thickBot="1" x14ac:dyDescent="0.25">
      <c r="B547" s="521" t="str">
        <f>+'11'!B653:M653</f>
        <v>Иные межбюджетные трансферты</v>
      </c>
      <c r="C547" s="521"/>
      <c r="D547" s="521"/>
      <c r="E547" s="521"/>
      <c r="F547" s="522"/>
      <c r="G547" s="366" t="str">
        <f>+'11'!Q653</f>
        <v>9900070020</v>
      </c>
      <c r="H547" s="363" t="str">
        <f>+'11'!R653</f>
        <v>540</v>
      </c>
      <c r="I547" s="418">
        <f>+'11'!O653</f>
        <v>14</v>
      </c>
      <c r="J547" s="418">
        <f>+'11'!P653</f>
        <v>3</v>
      </c>
      <c r="K547" s="523"/>
      <c r="L547" s="524"/>
      <c r="M547" s="361"/>
      <c r="N547" s="362"/>
      <c r="O547" s="365">
        <f>+'11'!U653</f>
        <v>595.13599999999997</v>
      </c>
      <c r="P547" s="438">
        <f>+'11'!AG653</f>
        <v>178.84593000000001</v>
      </c>
      <c r="Q547" s="436">
        <f t="shared" si="11"/>
        <v>30.051270633939136</v>
      </c>
    </row>
    <row r="548" spans="2:17" ht="13.5" thickBot="1" x14ac:dyDescent="0.25">
      <c r="B548" s="521" t="str">
        <f>+'11'!B654:M654</f>
        <v>Субсидии на закупку и доставку угля бюджетным учреждениям, расположенным в труднодоступных местностях с ограниченными сроками завоза грузов</v>
      </c>
      <c r="C548" s="521"/>
      <c r="D548" s="521"/>
      <c r="E548" s="521"/>
      <c r="F548" s="522"/>
      <c r="G548" s="366" t="str">
        <f>+'11'!Q654</f>
        <v>9900070060</v>
      </c>
      <c r="H548" s="363">
        <f>+'11'!R654</f>
        <v>0</v>
      </c>
      <c r="I548" s="418">
        <f>+'11'!O654</f>
        <v>14</v>
      </c>
      <c r="J548" s="418">
        <f>+'11'!P654</f>
        <v>3</v>
      </c>
      <c r="K548" s="523"/>
      <c r="L548" s="524"/>
      <c r="M548" s="361"/>
      <c r="N548" s="362"/>
      <c r="O548" s="365">
        <f>+'11'!U654</f>
        <v>524.38099999999997</v>
      </c>
      <c r="P548" s="438">
        <f>+'11'!AG654</f>
        <v>0</v>
      </c>
      <c r="Q548" s="436">
        <f t="shared" si="11"/>
        <v>0</v>
      </c>
    </row>
    <row r="549" spans="2:17" ht="13.5" thickBot="1" x14ac:dyDescent="0.25">
      <c r="B549" s="521" t="str">
        <f>+'11'!B655:M655</f>
        <v>Межбюджетные трансферты</v>
      </c>
      <c r="C549" s="521"/>
      <c r="D549" s="521"/>
      <c r="E549" s="521"/>
      <c r="F549" s="522"/>
      <c r="G549" s="366" t="str">
        <f>+'11'!Q655</f>
        <v>9900070060</v>
      </c>
      <c r="H549" s="363" t="str">
        <f>+'11'!R655</f>
        <v>500</v>
      </c>
      <c r="I549" s="418">
        <f>+'11'!O655</f>
        <v>14</v>
      </c>
      <c r="J549" s="418">
        <f>+'11'!P655</f>
        <v>3</v>
      </c>
      <c r="K549" s="523"/>
      <c r="L549" s="524"/>
      <c r="M549" s="361"/>
      <c r="N549" s="362"/>
      <c r="O549" s="365">
        <f>+'11'!U655</f>
        <v>524.38099999999997</v>
      </c>
      <c r="P549" s="438">
        <f>+'11'!AG655</f>
        <v>0</v>
      </c>
      <c r="Q549" s="436">
        <f t="shared" si="11"/>
        <v>0</v>
      </c>
    </row>
    <row r="550" spans="2:17" ht="13.5" thickBot="1" x14ac:dyDescent="0.25">
      <c r="B550" s="521" t="str">
        <f>+'11'!B656:M656</f>
        <v>Иные межбюджетные трансферты</v>
      </c>
      <c r="C550" s="521"/>
      <c r="D550" s="521"/>
      <c r="E550" s="521"/>
      <c r="F550" s="522"/>
      <c r="G550" s="366" t="str">
        <f>+'11'!Q656</f>
        <v>9900070060</v>
      </c>
      <c r="H550" s="363" t="str">
        <f>+'11'!R656</f>
        <v>540</v>
      </c>
      <c r="I550" s="418">
        <f>+'11'!O656</f>
        <v>14</v>
      </c>
      <c r="J550" s="418">
        <f>+'11'!P656</f>
        <v>3</v>
      </c>
      <c r="K550" s="523"/>
      <c r="L550" s="524"/>
      <c r="M550" s="361"/>
      <c r="N550" s="362"/>
      <c r="O550" s="365">
        <f>+'11'!U656</f>
        <v>524.38099999999997</v>
      </c>
      <c r="P550" s="438">
        <f>+'11'!AG656</f>
        <v>0</v>
      </c>
      <c r="Q550" s="436">
        <f t="shared" si="11"/>
        <v>0</v>
      </c>
    </row>
    <row r="551" spans="2:17" ht="13.5" thickBot="1" x14ac:dyDescent="0.25">
      <c r="B551" s="521" t="str">
        <f>+'11'!B76:M76</f>
        <v>Льготы сельским специалистам по жилищно-коммунальным услугам</v>
      </c>
      <c r="C551" s="521"/>
      <c r="D551" s="521"/>
      <c r="E551" s="521"/>
      <c r="F551" s="522"/>
      <c r="G551" s="366" t="str">
        <f>+'11'!Q76</f>
        <v>9900076040</v>
      </c>
      <c r="H551" s="363">
        <f>+'11'!R76</f>
        <v>0</v>
      </c>
      <c r="I551" s="418">
        <f>+'11'!O76</f>
        <v>8</v>
      </c>
      <c r="J551" s="418">
        <f>+'11'!P76</f>
        <v>1</v>
      </c>
      <c r="K551" s="523"/>
      <c r="L551" s="524"/>
      <c r="M551" s="361"/>
      <c r="N551" s="362"/>
      <c r="O551" s="365">
        <f>+'11'!U76</f>
        <v>381.7</v>
      </c>
      <c r="P551" s="438">
        <f>+'11'!AG76</f>
        <v>0</v>
      </c>
      <c r="Q551" s="436">
        <f t="shared" si="11"/>
        <v>0</v>
      </c>
    </row>
    <row r="552" spans="2:17" ht="13.5" thickBot="1" x14ac:dyDescent="0.25">
      <c r="B552" s="521" t="str">
        <f>+'11'!B77:M77</f>
        <v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v>
      </c>
      <c r="C552" s="521"/>
      <c r="D552" s="521"/>
      <c r="E552" s="521"/>
      <c r="F552" s="522"/>
      <c r="G552" s="366" t="str">
        <f>+'11'!Q77</f>
        <v>9900076040</v>
      </c>
      <c r="H552" s="363" t="str">
        <f>+'11'!R77</f>
        <v>100</v>
      </c>
      <c r="I552" s="418">
        <f>+'11'!O77</f>
        <v>8</v>
      </c>
      <c r="J552" s="418">
        <f>+'11'!P77</f>
        <v>1</v>
      </c>
      <c r="K552" s="523"/>
      <c r="L552" s="524"/>
      <c r="M552" s="361"/>
      <c r="N552" s="362"/>
      <c r="O552" s="365">
        <f>+'11'!U77</f>
        <v>23.687999999999999</v>
      </c>
      <c r="P552" s="438">
        <f>+'11'!AG77</f>
        <v>0</v>
      </c>
      <c r="Q552" s="436">
        <f t="shared" si="11"/>
        <v>0</v>
      </c>
    </row>
    <row r="553" spans="2:17" ht="13.5" thickBot="1" x14ac:dyDescent="0.25">
      <c r="B553" s="521" t="str">
        <f>+'11'!B78:M78</f>
        <v>Расходы на выплаты персоналу казенных учреждений</v>
      </c>
      <c r="C553" s="521"/>
      <c r="D553" s="521"/>
      <c r="E553" s="521"/>
      <c r="F553" s="522"/>
      <c r="G553" s="366" t="str">
        <f>+'11'!Q78</f>
        <v>9900076040</v>
      </c>
      <c r="H553" s="363" t="str">
        <f>+'11'!R78</f>
        <v>110</v>
      </c>
      <c r="I553" s="418">
        <f>+'11'!O78</f>
        <v>8</v>
      </c>
      <c r="J553" s="418">
        <f>+'11'!P78</f>
        <v>1</v>
      </c>
      <c r="K553" s="523"/>
      <c r="L553" s="524"/>
      <c r="M553" s="361"/>
      <c r="N553" s="362"/>
      <c r="O553" s="365">
        <f>+'11'!U78</f>
        <v>23.687999999999999</v>
      </c>
      <c r="P553" s="438">
        <f>+'11'!AG78</f>
        <v>0</v>
      </c>
      <c r="Q553" s="436">
        <f t="shared" si="11"/>
        <v>0</v>
      </c>
    </row>
    <row r="554" spans="2:17" ht="13.5" thickBot="1" x14ac:dyDescent="0.25">
      <c r="B554" s="521" t="str">
        <f>+'11'!B79:M79</f>
        <v>Иные выплаты персоналу учреждений, за исключением фонда оплаты труда</v>
      </c>
      <c r="C554" s="521"/>
      <c r="D554" s="521"/>
      <c r="E554" s="521"/>
      <c r="F554" s="522"/>
      <c r="G554" s="366" t="str">
        <f>+'11'!Q79</f>
        <v>9900076040</v>
      </c>
      <c r="H554" s="363" t="str">
        <f>+'11'!R79</f>
        <v>112</v>
      </c>
      <c r="I554" s="418">
        <f>+'11'!O79</f>
        <v>8</v>
      </c>
      <c r="J554" s="418">
        <f>+'11'!P79</f>
        <v>1</v>
      </c>
      <c r="K554" s="523"/>
      <c r="L554" s="524"/>
      <c r="M554" s="361"/>
      <c r="N554" s="362"/>
      <c r="O554" s="365">
        <f>+'11'!U79</f>
        <v>23.687999999999999</v>
      </c>
      <c r="P554" s="438">
        <f>+'11'!AG79</f>
        <v>0</v>
      </c>
      <c r="Q554" s="436">
        <f t="shared" si="11"/>
        <v>0</v>
      </c>
    </row>
    <row r="555" spans="2:17" ht="13.5" thickBot="1" x14ac:dyDescent="0.25">
      <c r="B555" s="521" t="str">
        <f>+'11'!B80:M80</f>
        <v>Предоставление субсидий бюджетным, автономным учреждениям и иным некоммерческим организациям</v>
      </c>
      <c r="C555" s="521"/>
      <c r="D555" s="521"/>
      <c r="E555" s="521"/>
      <c r="F555" s="522"/>
      <c r="G555" s="366" t="str">
        <f>+'11'!Q80</f>
        <v>9900076040</v>
      </c>
      <c r="H555" s="363" t="str">
        <f>+'11'!R80</f>
        <v>600</v>
      </c>
      <c r="I555" s="418">
        <f>+'11'!O80</f>
        <v>8</v>
      </c>
      <c r="J555" s="418">
        <f>+'11'!P80</f>
        <v>1</v>
      </c>
      <c r="K555" s="523"/>
      <c r="L555" s="524"/>
      <c r="M555" s="361"/>
      <c r="N555" s="362"/>
      <c r="O555" s="365">
        <f>+'11'!U80</f>
        <v>358.012</v>
      </c>
      <c r="P555" s="438">
        <f>+'11'!AG80</f>
        <v>0</v>
      </c>
      <c r="Q555" s="436">
        <f t="shared" si="11"/>
        <v>0</v>
      </c>
    </row>
    <row r="556" spans="2:17" ht="13.5" thickBot="1" x14ac:dyDescent="0.25">
      <c r="B556" s="521" t="str">
        <f>+'11'!B81:M81</f>
        <v>Субсидии бюджетным учреждениям</v>
      </c>
      <c r="C556" s="521"/>
      <c r="D556" s="521"/>
      <c r="E556" s="521"/>
      <c r="F556" s="522"/>
      <c r="G556" s="366" t="str">
        <f>+'11'!Q81</f>
        <v>9900076040</v>
      </c>
      <c r="H556" s="363" t="str">
        <f>+'11'!R81</f>
        <v>610</v>
      </c>
      <c r="I556" s="418">
        <f>+'11'!O81</f>
        <v>8</v>
      </c>
      <c r="J556" s="418">
        <f>+'11'!P81</f>
        <v>1</v>
      </c>
      <c r="K556" s="523"/>
      <c r="L556" s="524"/>
      <c r="M556" s="361"/>
      <c r="N556" s="362"/>
      <c r="O556" s="365">
        <f>+'11'!U81</f>
        <v>358.012</v>
      </c>
      <c r="P556" s="438">
        <f>+'11'!AG81</f>
        <v>0</v>
      </c>
      <c r="Q556" s="436">
        <f t="shared" si="11"/>
        <v>0</v>
      </c>
    </row>
    <row r="557" spans="2:17" ht="13.5" thickBot="1" x14ac:dyDescent="0.25">
      <c r="B557" s="521" t="str">
        <f>+'11'!B82:M82</f>
        <v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v>
      </c>
      <c r="C557" s="521"/>
      <c r="D557" s="521"/>
      <c r="E557" s="521"/>
      <c r="F557" s="522"/>
      <c r="G557" s="366" t="str">
        <f>+'11'!Q82</f>
        <v>9900076040</v>
      </c>
      <c r="H557" s="363" t="str">
        <f>+'11'!R82</f>
        <v>611</v>
      </c>
      <c r="I557" s="418">
        <f>+'11'!O82</f>
        <v>8</v>
      </c>
      <c r="J557" s="418">
        <f>+'11'!P82</f>
        <v>1</v>
      </c>
      <c r="K557" s="523"/>
      <c r="L557" s="524"/>
      <c r="M557" s="361"/>
      <c r="N557" s="362"/>
      <c r="O557" s="365">
        <f>+'11'!U82</f>
        <v>358.012</v>
      </c>
      <c r="P557" s="438">
        <f>+'11'!AG82</f>
        <v>0</v>
      </c>
      <c r="Q557" s="436">
        <f t="shared" si="11"/>
        <v>0</v>
      </c>
    </row>
    <row r="558" spans="2:17" ht="13.5" thickBot="1" x14ac:dyDescent="0.25">
      <c r="B558" s="521" t="str">
        <f>+'11'!B455:M455</f>
        <v>Осуществление государственных полномочий по установлению запрета на розничную продажу алкогольной продукции в Республике Тыва</v>
      </c>
      <c r="C558" s="521"/>
      <c r="D558" s="521"/>
      <c r="E558" s="521"/>
      <c r="F558" s="522"/>
      <c r="G558" s="366" t="str">
        <f>+'11'!Q455</f>
        <v>9900076050</v>
      </c>
      <c r="H558" s="363">
        <f>+'11'!R455</f>
        <v>0</v>
      </c>
      <c r="I558" s="418">
        <f>+'11'!O455</f>
        <v>1</v>
      </c>
      <c r="J558" s="418">
        <f>+'11'!P455</f>
        <v>13</v>
      </c>
      <c r="K558" s="523"/>
      <c r="L558" s="524"/>
      <c r="M558" s="361"/>
      <c r="N558" s="362"/>
      <c r="O558" s="365">
        <f>+O559+O562</f>
        <v>6</v>
      </c>
      <c r="P558" s="434">
        <f>+P559+P562</f>
        <v>0</v>
      </c>
      <c r="Q558" s="436">
        <f t="shared" si="11"/>
        <v>0</v>
      </c>
    </row>
    <row r="559" spans="2:17" ht="13.5" thickBot="1" x14ac:dyDescent="0.25">
      <c r="B559" s="521" t="str">
        <f>+'11'!B456:M456</f>
        <v>Закупка товаров, работ и услуг для обеспечения государственных (муниципальных) нужд</v>
      </c>
      <c r="C559" s="521"/>
      <c r="D559" s="521"/>
      <c r="E559" s="521"/>
      <c r="F559" s="522"/>
      <c r="G559" s="366" t="str">
        <f>+'11'!Q456</f>
        <v>9900076050</v>
      </c>
      <c r="H559" s="363" t="str">
        <f>+'11'!R456</f>
        <v>200</v>
      </c>
      <c r="I559" s="418">
        <f>+'11'!O456</f>
        <v>1</v>
      </c>
      <c r="J559" s="418">
        <f>+'11'!P456</f>
        <v>13</v>
      </c>
      <c r="K559" s="523"/>
      <c r="L559" s="524"/>
      <c r="M559" s="361"/>
      <c r="N559" s="362"/>
      <c r="O559" s="365">
        <f>+'11'!U456</f>
        <v>1</v>
      </c>
      <c r="P559" s="438">
        <f>+'11'!AG456</f>
        <v>0</v>
      </c>
      <c r="Q559" s="436">
        <f t="shared" si="11"/>
        <v>0</v>
      </c>
    </row>
    <row r="560" spans="2:17" ht="13.5" thickBot="1" x14ac:dyDescent="0.25">
      <c r="B560" s="521" t="str">
        <f>+'11'!B457:M457</f>
        <v>Иные закупки товаров, работ и услуг для обеспечения государственных (муниципальных) нужд</v>
      </c>
      <c r="C560" s="521"/>
      <c r="D560" s="521"/>
      <c r="E560" s="521"/>
      <c r="F560" s="522"/>
      <c r="G560" s="366" t="str">
        <f>+'11'!Q457</f>
        <v>9900076050</v>
      </c>
      <c r="H560" s="363" t="str">
        <f>+'11'!R457</f>
        <v>240</v>
      </c>
      <c r="I560" s="418">
        <f>+'11'!O457</f>
        <v>1</v>
      </c>
      <c r="J560" s="418">
        <f>+'11'!P457</f>
        <v>13</v>
      </c>
      <c r="K560" s="523"/>
      <c r="L560" s="524"/>
      <c r="M560" s="361"/>
      <c r="N560" s="362"/>
      <c r="O560" s="365">
        <f>+'11'!U457</f>
        <v>1</v>
      </c>
      <c r="P560" s="438">
        <f>+'11'!AG457</f>
        <v>0</v>
      </c>
      <c r="Q560" s="436">
        <f t="shared" si="11"/>
        <v>0</v>
      </c>
    </row>
    <row r="561" spans="2:17" ht="13.5" thickBot="1" x14ac:dyDescent="0.25">
      <c r="B561" s="521" t="str">
        <f>+'11'!B458:M458</f>
        <v>Прочая закупка товаров, работ и услуг</v>
      </c>
      <c r="C561" s="521"/>
      <c r="D561" s="521"/>
      <c r="E561" s="521"/>
      <c r="F561" s="522"/>
      <c r="G561" s="366" t="str">
        <f>+'11'!Q458</f>
        <v>9900076050</v>
      </c>
      <c r="H561" s="363" t="str">
        <f>+'11'!R458</f>
        <v>244</v>
      </c>
      <c r="I561" s="418">
        <f>+'11'!O458</f>
        <v>1</v>
      </c>
      <c r="J561" s="418">
        <f>+'11'!P458</f>
        <v>13</v>
      </c>
      <c r="K561" s="523"/>
      <c r="L561" s="524"/>
      <c r="M561" s="361"/>
      <c r="N561" s="362"/>
      <c r="O561" s="365">
        <f>+'11'!U458</f>
        <v>1</v>
      </c>
      <c r="P561" s="438">
        <f>+'11'!AG458</f>
        <v>0</v>
      </c>
      <c r="Q561" s="436">
        <f t="shared" si="11"/>
        <v>0</v>
      </c>
    </row>
    <row r="562" spans="2:17" ht="13.5" thickBot="1" x14ac:dyDescent="0.25">
      <c r="B562" s="521" t="str">
        <f>+'11'!B628:M628</f>
        <v>Межбюджетные трансферты</v>
      </c>
      <c r="C562" s="521"/>
      <c r="D562" s="521"/>
      <c r="E562" s="521"/>
      <c r="F562" s="522"/>
      <c r="G562" s="366" t="str">
        <f>+'11'!Q628</f>
        <v>9900076050</v>
      </c>
      <c r="H562" s="363" t="str">
        <f>+'11'!R628</f>
        <v>500</v>
      </c>
      <c r="I562" s="418">
        <f>+'11'!O628</f>
        <v>1</v>
      </c>
      <c r="J562" s="418">
        <f>+'11'!P628</f>
        <v>13</v>
      </c>
      <c r="K562" s="523"/>
      <c r="L562" s="524"/>
      <c r="M562" s="361"/>
      <c r="N562" s="362"/>
      <c r="O562" s="365">
        <f>+'11'!U628</f>
        <v>5</v>
      </c>
      <c r="P562" s="438">
        <f>+'11'!AG628</f>
        <v>0</v>
      </c>
      <c r="Q562" s="436">
        <f t="shared" si="11"/>
        <v>0</v>
      </c>
    </row>
    <row r="563" spans="2:17" ht="13.5" thickBot="1" x14ac:dyDescent="0.25">
      <c r="B563" s="521" t="str">
        <f>+'11'!B629:M629</f>
        <v>Субвенции</v>
      </c>
      <c r="C563" s="521"/>
      <c r="D563" s="521"/>
      <c r="E563" s="521"/>
      <c r="F563" s="522"/>
      <c r="G563" s="366" t="str">
        <f>+'11'!Q629</f>
        <v>9900076050</v>
      </c>
      <c r="H563" s="363" t="str">
        <f>+'11'!R629</f>
        <v>530</v>
      </c>
      <c r="I563" s="418">
        <f>+'11'!O629</f>
        <v>1</v>
      </c>
      <c r="J563" s="418">
        <f>+'11'!P629</f>
        <v>13</v>
      </c>
      <c r="K563" s="523"/>
      <c r="L563" s="524"/>
      <c r="M563" s="361"/>
      <c r="N563" s="362"/>
      <c r="O563" s="365">
        <f>+'11'!U629</f>
        <v>5</v>
      </c>
      <c r="P563" s="438">
        <f>+'11'!AG629</f>
        <v>0</v>
      </c>
      <c r="Q563" s="436">
        <f t="shared" si="11"/>
        <v>0</v>
      </c>
    </row>
    <row r="564" spans="2:17" ht="13.5" thickBot="1" x14ac:dyDescent="0.25">
      <c r="B564" s="521" t="str">
        <f>+'11'!B530:M530</f>
        <v>Осуществление государственных полномочий по образованию и организации деятельности комиссий по делам несовершеннолетних</v>
      </c>
      <c r="C564" s="521"/>
      <c r="D564" s="521"/>
      <c r="E564" s="521"/>
      <c r="F564" s="522"/>
      <c r="G564" s="366" t="str">
        <f>+'11'!Q530</f>
        <v>9900076100</v>
      </c>
      <c r="H564" s="363">
        <f>+'11'!R530</f>
        <v>0</v>
      </c>
      <c r="I564" s="418">
        <f>+'11'!O530</f>
        <v>7</v>
      </c>
      <c r="J564" s="418">
        <f>+'11'!P530</f>
        <v>9</v>
      </c>
      <c r="K564" s="523"/>
      <c r="L564" s="524"/>
      <c r="M564" s="361"/>
      <c r="N564" s="362"/>
      <c r="O564" s="365">
        <f>+'11'!U530</f>
        <v>463.4</v>
      </c>
      <c r="P564" s="438">
        <f>+'11'!AG530</f>
        <v>70.915750000000003</v>
      </c>
      <c r="Q564" s="436">
        <f t="shared" si="11"/>
        <v>15.303355632283125</v>
      </c>
    </row>
    <row r="565" spans="2:17" ht="13.5" thickBot="1" x14ac:dyDescent="0.25">
      <c r="B565" s="521" t="str">
        <f>+'11'!B531:M531</f>
        <v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v>
      </c>
      <c r="C565" s="521"/>
      <c r="D565" s="521"/>
      <c r="E565" s="521"/>
      <c r="F565" s="522"/>
      <c r="G565" s="366" t="str">
        <f>+'11'!Q531</f>
        <v>9900076100</v>
      </c>
      <c r="H565" s="363" t="str">
        <f>+'11'!R531</f>
        <v>100</v>
      </c>
      <c r="I565" s="418">
        <f>+'11'!O531</f>
        <v>7</v>
      </c>
      <c r="J565" s="418">
        <f>+'11'!P531</f>
        <v>9</v>
      </c>
      <c r="K565" s="523"/>
      <c r="L565" s="524"/>
      <c r="M565" s="361"/>
      <c r="N565" s="362"/>
      <c r="O565" s="365">
        <f>+'11'!U531</f>
        <v>405.58300000000003</v>
      </c>
      <c r="P565" s="438">
        <f>+'11'!AG531</f>
        <v>68.983109999999996</v>
      </c>
      <c r="Q565" s="436">
        <f t="shared" si="11"/>
        <v>17.008382994356268</v>
      </c>
    </row>
    <row r="566" spans="2:17" ht="13.5" thickBot="1" x14ac:dyDescent="0.25">
      <c r="B566" s="521" t="str">
        <f>+'11'!B532:M532</f>
        <v>Расходы на выплаты персоналу государственных (муниципальных) органов</v>
      </c>
      <c r="C566" s="521"/>
      <c r="D566" s="521"/>
      <c r="E566" s="521"/>
      <c r="F566" s="522"/>
      <c r="G566" s="366" t="str">
        <f>+'11'!Q532</f>
        <v>9900076100</v>
      </c>
      <c r="H566" s="363" t="str">
        <f>+'11'!R532</f>
        <v>120</v>
      </c>
      <c r="I566" s="418">
        <f>+'11'!O532</f>
        <v>7</v>
      </c>
      <c r="J566" s="418">
        <f>+'11'!P532</f>
        <v>9</v>
      </c>
      <c r="K566" s="523"/>
      <c r="L566" s="524"/>
      <c r="M566" s="361"/>
      <c r="N566" s="362"/>
      <c r="O566" s="365">
        <f>+'11'!U532</f>
        <v>405.58300000000003</v>
      </c>
      <c r="P566" s="438">
        <f>+'11'!AG532</f>
        <v>68.983109999999996</v>
      </c>
      <c r="Q566" s="436">
        <f t="shared" si="11"/>
        <v>17.008382994356268</v>
      </c>
    </row>
    <row r="567" spans="2:17" ht="13.5" thickBot="1" x14ac:dyDescent="0.25">
      <c r="B567" s="521" t="str">
        <f>+'11'!B533:M533</f>
        <v>Фонд оплаты труда государственных (муниципальных) органов</v>
      </c>
      <c r="C567" s="521"/>
      <c r="D567" s="521"/>
      <c r="E567" s="521"/>
      <c r="F567" s="522"/>
      <c r="G567" s="366" t="str">
        <f>+'11'!Q533</f>
        <v>9900076100</v>
      </c>
      <c r="H567" s="363" t="str">
        <f>+'11'!R533</f>
        <v>121</v>
      </c>
      <c r="I567" s="418">
        <f>+'11'!O533</f>
        <v>7</v>
      </c>
      <c r="J567" s="418">
        <f>+'11'!P533</f>
        <v>9</v>
      </c>
      <c r="K567" s="523"/>
      <c r="L567" s="524"/>
      <c r="M567" s="361"/>
      <c r="N567" s="362"/>
      <c r="O567" s="365">
        <f>+'11'!U533</f>
        <v>303.05900000000003</v>
      </c>
      <c r="P567" s="438">
        <f>+'11'!AG533</f>
        <v>52.982419999999998</v>
      </c>
      <c r="Q567" s="436">
        <f t="shared" si="11"/>
        <v>17.482543003177597</v>
      </c>
    </row>
    <row r="568" spans="2:17" ht="13.5" thickBot="1" x14ac:dyDescent="0.25">
      <c r="B568" s="521" t="str">
        <f>+'11'!B534:M534</f>
        <v>Иные выплаты персоналу государственных (муниципальных) органов, за исключением фонда оплаты труда</v>
      </c>
      <c r="C568" s="521"/>
      <c r="D568" s="521"/>
      <c r="E568" s="521"/>
      <c r="F568" s="522"/>
      <c r="G568" s="366" t="str">
        <f>+'11'!Q534</f>
        <v>9900076100</v>
      </c>
      <c r="H568" s="363" t="str">
        <f>+'11'!R534</f>
        <v>122</v>
      </c>
      <c r="I568" s="418">
        <f>+'11'!O534</f>
        <v>7</v>
      </c>
      <c r="J568" s="418">
        <f>+'11'!P534</f>
        <v>9</v>
      </c>
      <c r="K568" s="523"/>
      <c r="L568" s="524"/>
      <c r="M568" s="361"/>
      <c r="N568" s="362"/>
      <c r="O568" s="365">
        <f>+'11'!U534</f>
        <v>11</v>
      </c>
      <c r="P568" s="438">
        <f>+'11'!AG534</f>
        <v>0</v>
      </c>
      <c r="Q568" s="436">
        <f t="shared" si="11"/>
        <v>0</v>
      </c>
    </row>
    <row r="569" spans="2:17" ht="13.5" thickBot="1" x14ac:dyDescent="0.25">
      <c r="B569" s="521" t="str">
        <f>+'11'!B535:M535</f>
        <v>Взносы по обязательному социальному страхованию на выплаты денежного содержания и иные выплаты работникам государственных (муниципальных) органов</v>
      </c>
      <c r="C569" s="521"/>
      <c r="D569" s="521"/>
      <c r="E569" s="521"/>
      <c r="F569" s="522"/>
      <c r="G569" s="366" t="str">
        <f>+'11'!Q535</f>
        <v>9900076100</v>
      </c>
      <c r="H569" s="363" t="str">
        <f>+'11'!R535</f>
        <v>129</v>
      </c>
      <c r="I569" s="418">
        <f>+'11'!O535</f>
        <v>7</v>
      </c>
      <c r="J569" s="418">
        <f>+'11'!P535</f>
        <v>9</v>
      </c>
      <c r="K569" s="523"/>
      <c r="L569" s="524"/>
      <c r="M569" s="361"/>
      <c r="N569" s="362"/>
      <c r="O569" s="365">
        <f>+'11'!U535</f>
        <v>91.524000000000001</v>
      </c>
      <c r="P569" s="438">
        <f>+'11'!AG535</f>
        <v>16.000689999999999</v>
      </c>
      <c r="Q569" s="436">
        <f t="shared" si="11"/>
        <v>17.482507320484242</v>
      </c>
    </row>
    <row r="570" spans="2:17" ht="13.5" thickBot="1" x14ac:dyDescent="0.25">
      <c r="B570" s="521" t="str">
        <f>+'11'!B536:M536</f>
        <v>Закупка товаров, работ и услуг для обеспечения государственных (муниципальных) нужд</v>
      </c>
      <c r="C570" s="521"/>
      <c r="D570" s="521"/>
      <c r="E570" s="521"/>
      <c r="F570" s="522"/>
      <c r="G570" s="366" t="str">
        <f>+'11'!Q536</f>
        <v>9900076100</v>
      </c>
      <c r="H570" s="363" t="str">
        <f>+'11'!R536</f>
        <v>200</v>
      </c>
      <c r="I570" s="418">
        <f>+'11'!O536</f>
        <v>7</v>
      </c>
      <c r="J570" s="418">
        <f>+'11'!P536</f>
        <v>9</v>
      </c>
      <c r="K570" s="523"/>
      <c r="L570" s="524"/>
      <c r="M570" s="361"/>
      <c r="N570" s="362"/>
      <c r="O570" s="365">
        <f>+'11'!U536</f>
        <v>57.817</v>
      </c>
      <c r="P570" s="438">
        <f>+'11'!AG536</f>
        <v>1.9326399999999999</v>
      </c>
      <c r="Q570" s="436">
        <f t="shared" si="11"/>
        <v>3.3426846775169929</v>
      </c>
    </row>
    <row r="571" spans="2:17" ht="13.5" thickBot="1" x14ac:dyDescent="0.25">
      <c r="B571" s="521" t="str">
        <f>+'11'!B537:M537</f>
        <v>Иные закупки товаров, работ и услуг для обеспечения государственных (муниципальных) нужд</v>
      </c>
      <c r="C571" s="521"/>
      <c r="D571" s="521"/>
      <c r="E571" s="521"/>
      <c r="F571" s="522"/>
      <c r="G571" s="366" t="str">
        <f>+'11'!Q537</f>
        <v>9900076100</v>
      </c>
      <c r="H571" s="363" t="str">
        <f>+'11'!R537</f>
        <v>240</v>
      </c>
      <c r="I571" s="418">
        <f>+'11'!O537</f>
        <v>7</v>
      </c>
      <c r="J571" s="418">
        <f>+'11'!P537</f>
        <v>9</v>
      </c>
      <c r="K571" s="523"/>
      <c r="L571" s="524"/>
      <c r="M571" s="361"/>
      <c r="N571" s="362"/>
      <c r="O571" s="365">
        <f>+'11'!U537</f>
        <v>57.817</v>
      </c>
      <c r="P571" s="438">
        <f>+'11'!AG537</f>
        <v>1.9326399999999999</v>
      </c>
      <c r="Q571" s="436">
        <f t="shared" si="11"/>
        <v>3.3426846775169929</v>
      </c>
    </row>
    <row r="572" spans="2:17" ht="13.5" thickBot="1" x14ac:dyDescent="0.25">
      <c r="B572" s="521" t="str">
        <f>+'11'!B538:M538</f>
        <v>Закупка товаров, работ, услуг в сфере информационно-коммуникационных технологий</v>
      </c>
      <c r="C572" s="521"/>
      <c r="D572" s="521"/>
      <c r="E572" s="521"/>
      <c r="F572" s="522"/>
      <c r="G572" s="366" t="str">
        <f>+'11'!Q538</f>
        <v>9900076100</v>
      </c>
      <c r="H572" s="363" t="str">
        <f>+'11'!R538</f>
        <v>242</v>
      </c>
      <c r="I572" s="418">
        <f>+'11'!O538</f>
        <v>7</v>
      </c>
      <c r="J572" s="418">
        <f>+'11'!P538</f>
        <v>9</v>
      </c>
      <c r="K572" s="523"/>
      <c r="L572" s="524"/>
      <c r="M572" s="361"/>
      <c r="N572" s="362"/>
      <c r="O572" s="365">
        <f>+'11'!U538</f>
        <v>12</v>
      </c>
      <c r="P572" s="438">
        <f>+'11'!AG538</f>
        <v>0</v>
      </c>
      <c r="Q572" s="436">
        <f t="shared" si="11"/>
        <v>0</v>
      </c>
    </row>
    <row r="573" spans="2:17" ht="13.5" thickBot="1" x14ac:dyDescent="0.25">
      <c r="B573" s="521" t="str">
        <f>+'11'!B539:M539</f>
        <v>Прочая закупка товаров, работ и услуг</v>
      </c>
      <c r="C573" s="521"/>
      <c r="D573" s="521"/>
      <c r="E573" s="521"/>
      <c r="F573" s="522"/>
      <c r="G573" s="366" t="str">
        <f>+'11'!Q539</f>
        <v>9900076100</v>
      </c>
      <c r="H573" s="363" t="str">
        <f>+'11'!R539</f>
        <v>244</v>
      </c>
      <c r="I573" s="418">
        <f>+'11'!O539</f>
        <v>7</v>
      </c>
      <c r="J573" s="418">
        <f>+'11'!P539</f>
        <v>9</v>
      </c>
      <c r="K573" s="523"/>
      <c r="L573" s="524"/>
      <c r="M573" s="361"/>
      <c r="N573" s="362"/>
      <c r="O573" s="365">
        <f>+'11'!U539</f>
        <v>45.817</v>
      </c>
      <c r="P573" s="438">
        <f>+'11'!AG539</f>
        <v>1.9326399999999999</v>
      </c>
      <c r="Q573" s="436">
        <f t="shared" si="11"/>
        <v>4.2181722941266342</v>
      </c>
    </row>
    <row r="574" spans="2:17" ht="13.5" thickBot="1" x14ac:dyDescent="0.25">
      <c r="B574" s="521" t="str">
        <f>+'11'!B459:M459</f>
        <v>Осуществление государственных полномочий по созданию, организации и обеспечению деятельности административных комиссий</v>
      </c>
      <c r="C574" s="521"/>
      <c r="D574" s="521"/>
      <c r="E574" s="521"/>
      <c r="F574" s="522"/>
      <c r="G574" s="366" t="str">
        <f>+'11'!Q459</f>
        <v>9900076130</v>
      </c>
      <c r="H574" s="363">
        <f>+'11'!R459</f>
        <v>0</v>
      </c>
      <c r="I574" s="418">
        <f>+'11'!O459</f>
        <v>1</v>
      </c>
      <c r="J574" s="418">
        <f>+'11'!P459</f>
        <v>13</v>
      </c>
      <c r="K574" s="523"/>
      <c r="L574" s="524"/>
      <c r="M574" s="361"/>
      <c r="N574" s="362"/>
      <c r="O574" s="365">
        <f>+'11'!U459</f>
        <v>551.1</v>
      </c>
      <c r="P574" s="438">
        <f>+'11'!AG459</f>
        <v>103.52485999999999</v>
      </c>
      <c r="Q574" s="436">
        <f t="shared" si="11"/>
        <v>18.785131555071672</v>
      </c>
    </row>
    <row r="575" spans="2:17" ht="13.5" thickBot="1" x14ac:dyDescent="0.25">
      <c r="B575" s="521" t="str">
        <f>+'11'!B460:M460</f>
        <v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v>
      </c>
      <c r="C575" s="521"/>
      <c r="D575" s="521"/>
      <c r="E575" s="521"/>
      <c r="F575" s="522"/>
      <c r="G575" s="366" t="str">
        <f>+'11'!Q460</f>
        <v>9900076130</v>
      </c>
      <c r="H575" s="363" t="str">
        <f>+'11'!R460</f>
        <v>100</v>
      </c>
      <c r="I575" s="418">
        <f>+'11'!O460</f>
        <v>1</v>
      </c>
      <c r="J575" s="418">
        <f>+'11'!P460</f>
        <v>13</v>
      </c>
      <c r="K575" s="523"/>
      <c r="L575" s="524"/>
      <c r="M575" s="361"/>
      <c r="N575" s="362"/>
      <c r="O575" s="365">
        <f>+'11'!U460</f>
        <v>446.86700000000002</v>
      </c>
      <c r="P575" s="438">
        <f>+'11'!AG460</f>
        <v>101.02485999999999</v>
      </c>
      <c r="Q575" s="436">
        <f t="shared" si="11"/>
        <v>22.607366397608235</v>
      </c>
    </row>
    <row r="576" spans="2:17" ht="13.5" thickBot="1" x14ac:dyDescent="0.25">
      <c r="B576" s="521" t="str">
        <f>+'11'!B461:M461</f>
        <v>Расходы на выплаты персоналу государственных (муниципальных) органов</v>
      </c>
      <c r="C576" s="521"/>
      <c r="D576" s="521"/>
      <c r="E576" s="521"/>
      <c r="F576" s="522"/>
      <c r="G576" s="366" t="str">
        <f>+'11'!Q461</f>
        <v>9900076130</v>
      </c>
      <c r="H576" s="363" t="str">
        <f>+'11'!R461</f>
        <v>120</v>
      </c>
      <c r="I576" s="418">
        <f>+'11'!O461</f>
        <v>1</v>
      </c>
      <c r="J576" s="418">
        <f>+'11'!P461</f>
        <v>13</v>
      </c>
      <c r="K576" s="523"/>
      <c r="L576" s="524"/>
      <c r="M576" s="361"/>
      <c r="N576" s="362"/>
      <c r="O576" s="365">
        <f>+'11'!U461</f>
        <v>446.86700000000002</v>
      </c>
      <c r="P576" s="438">
        <f>+'11'!AG461</f>
        <v>101.02485999999999</v>
      </c>
      <c r="Q576" s="436">
        <f t="shared" si="11"/>
        <v>22.607366397608235</v>
      </c>
    </row>
    <row r="577" spans="2:17" ht="13.5" thickBot="1" x14ac:dyDescent="0.25">
      <c r="B577" s="521" t="str">
        <f>+'11'!B462:M462</f>
        <v>Фонд оплаты труда государственных (муниципальных) органов</v>
      </c>
      <c r="C577" s="521"/>
      <c r="D577" s="521"/>
      <c r="E577" s="521"/>
      <c r="F577" s="522"/>
      <c r="G577" s="366" t="str">
        <f>+'11'!Q462</f>
        <v>9900076130</v>
      </c>
      <c r="H577" s="363" t="str">
        <f>+'11'!R462</f>
        <v>121</v>
      </c>
      <c r="I577" s="418">
        <f>+'11'!O462</f>
        <v>1</v>
      </c>
      <c r="J577" s="418">
        <f>+'11'!P462</f>
        <v>13</v>
      </c>
      <c r="K577" s="523"/>
      <c r="L577" s="524"/>
      <c r="M577" s="361"/>
      <c r="N577" s="362"/>
      <c r="O577" s="365">
        <f>+'11'!U462</f>
        <v>343.21600000000001</v>
      </c>
      <c r="P577" s="438">
        <f>+'11'!AG462</f>
        <v>78.009569999999997</v>
      </c>
      <c r="Q577" s="436">
        <f t="shared" si="11"/>
        <v>22.729001561698752</v>
      </c>
    </row>
    <row r="578" spans="2:17" ht="13.5" thickBot="1" x14ac:dyDescent="0.25">
      <c r="B578" s="521" t="str">
        <f>+'11'!B463:M463</f>
        <v>Взносы по обязательному социальному страхованию на выплаты денежного содержания и иные выплаты работникам государственных (муниципальных) органов</v>
      </c>
      <c r="C578" s="521"/>
      <c r="D578" s="521"/>
      <c r="E578" s="521"/>
      <c r="F578" s="522"/>
      <c r="G578" s="366" t="str">
        <f>+'11'!Q463</f>
        <v>9900076130</v>
      </c>
      <c r="H578" s="363" t="str">
        <f>+'11'!R463</f>
        <v>129</v>
      </c>
      <c r="I578" s="418">
        <f>+'11'!O463</f>
        <v>1</v>
      </c>
      <c r="J578" s="418">
        <f>+'11'!P463</f>
        <v>13</v>
      </c>
      <c r="K578" s="523"/>
      <c r="L578" s="524"/>
      <c r="M578" s="361"/>
      <c r="N578" s="362"/>
      <c r="O578" s="365">
        <f>+'11'!U463</f>
        <v>103.651</v>
      </c>
      <c r="P578" s="438">
        <f>+'11'!AG463</f>
        <v>23.01529</v>
      </c>
      <c r="Q578" s="436">
        <f t="shared" si="11"/>
        <v>22.204600052097906</v>
      </c>
    </row>
    <row r="579" spans="2:17" ht="13.5" thickBot="1" x14ac:dyDescent="0.25">
      <c r="B579" s="521" t="str">
        <f>+'11'!B464:M464</f>
        <v>Закупка товаров, работ и услуг для обеспечения государственных (муниципальных) нужд</v>
      </c>
      <c r="C579" s="521"/>
      <c r="D579" s="521"/>
      <c r="E579" s="521"/>
      <c r="F579" s="522"/>
      <c r="G579" s="366" t="str">
        <f>+'11'!Q464</f>
        <v>9900076130</v>
      </c>
      <c r="H579" s="363" t="str">
        <f>+'11'!R464</f>
        <v>200</v>
      </c>
      <c r="I579" s="418">
        <f>+'11'!O464</f>
        <v>1</v>
      </c>
      <c r="J579" s="418">
        <f>+'11'!P464</f>
        <v>13</v>
      </c>
      <c r="K579" s="523"/>
      <c r="L579" s="524"/>
      <c r="M579" s="361"/>
      <c r="N579" s="362"/>
      <c r="O579" s="365">
        <f>+'11'!U464</f>
        <v>104.233</v>
      </c>
      <c r="P579" s="438">
        <f>+'11'!AG464</f>
        <v>2.5</v>
      </c>
      <c r="Q579" s="436">
        <f t="shared" si="11"/>
        <v>2.3984726526148146</v>
      </c>
    </row>
    <row r="580" spans="2:17" ht="13.5" thickBot="1" x14ac:dyDescent="0.25">
      <c r="B580" s="521" t="str">
        <f>+'11'!B465:M465</f>
        <v>Иные закупки товаров, работ и услуг для обеспечения государственных (муниципальных) нужд</v>
      </c>
      <c r="C580" s="521"/>
      <c r="D580" s="521"/>
      <c r="E580" s="521"/>
      <c r="F580" s="522"/>
      <c r="G580" s="366" t="str">
        <f>+'11'!Q465</f>
        <v>9900076130</v>
      </c>
      <c r="H580" s="363" t="str">
        <f>+'11'!R465</f>
        <v>240</v>
      </c>
      <c r="I580" s="418">
        <f>+'11'!O465</f>
        <v>1</v>
      </c>
      <c r="J580" s="418">
        <f>+'11'!P465</f>
        <v>13</v>
      </c>
      <c r="K580" s="523"/>
      <c r="L580" s="524"/>
      <c r="M580" s="361"/>
      <c r="N580" s="362"/>
      <c r="O580" s="365">
        <f>+'11'!U465</f>
        <v>104.233</v>
      </c>
      <c r="P580" s="438">
        <f>+'11'!AG465</f>
        <v>2.5</v>
      </c>
      <c r="Q580" s="436">
        <f t="shared" si="11"/>
        <v>2.3984726526148146</v>
      </c>
    </row>
    <row r="581" spans="2:17" ht="13.5" thickBot="1" x14ac:dyDescent="0.25">
      <c r="B581" s="521" t="str">
        <f>+'11'!B466:M466</f>
        <v>Закупка товаров, работ, услуг в сфере информационно-коммуникационных технологий</v>
      </c>
      <c r="C581" s="521"/>
      <c r="D581" s="521"/>
      <c r="E581" s="521"/>
      <c r="F581" s="522"/>
      <c r="G581" s="366" t="str">
        <f>+'11'!Q466</f>
        <v>9900076130</v>
      </c>
      <c r="H581" s="363" t="str">
        <f>+'11'!R466</f>
        <v>242</v>
      </c>
      <c r="I581" s="418">
        <f>+'11'!O466</f>
        <v>1</v>
      </c>
      <c r="J581" s="418">
        <f>+'11'!P466</f>
        <v>13</v>
      </c>
      <c r="K581" s="523"/>
      <c r="L581" s="524"/>
      <c r="M581" s="361"/>
      <c r="N581" s="362"/>
      <c r="O581" s="365">
        <f>+'11'!U466</f>
        <v>5</v>
      </c>
      <c r="P581" s="438">
        <f>+'11'!AG466</f>
        <v>0</v>
      </c>
      <c r="Q581" s="436">
        <f t="shared" si="11"/>
        <v>0</v>
      </c>
    </row>
    <row r="582" spans="2:17" ht="13.5" thickBot="1" x14ac:dyDescent="0.25">
      <c r="B582" s="521" t="str">
        <f>+'11'!B467:M467</f>
        <v>Прочая закупка товаров, работ и услуг</v>
      </c>
      <c r="C582" s="521"/>
      <c r="D582" s="521"/>
      <c r="E582" s="521"/>
      <c r="F582" s="522"/>
      <c r="G582" s="366" t="str">
        <f>+'11'!Q467</f>
        <v>9900076130</v>
      </c>
      <c r="H582" s="363" t="str">
        <f>+'11'!R467</f>
        <v>244</v>
      </c>
      <c r="I582" s="418">
        <f>+'11'!O467</f>
        <v>1</v>
      </c>
      <c r="J582" s="418">
        <f>+'11'!P467</f>
        <v>13</v>
      </c>
      <c r="K582" s="523"/>
      <c r="L582" s="524"/>
      <c r="M582" s="361"/>
      <c r="N582" s="362"/>
      <c r="O582" s="365">
        <f>+'11'!U467</f>
        <v>99.233000000000004</v>
      </c>
      <c r="P582" s="438">
        <f>+'11'!AG467</f>
        <v>2.5</v>
      </c>
      <c r="Q582" s="436">
        <f t="shared" si="11"/>
        <v>2.5193232090131303</v>
      </c>
    </row>
  </sheetData>
  <mergeCells count="1123">
    <mergeCell ref="B521:F521"/>
    <mergeCell ref="K521:L521"/>
    <mergeCell ref="B380:F380"/>
    <mergeCell ref="K380:L380"/>
    <mergeCell ref="B381:F381"/>
    <mergeCell ref="K381:L381"/>
    <mergeCell ref="B382:F382"/>
    <mergeCell ref="K382:L382"/>
    <mergeCell ref="B383:F383"/>
    <mergeCell ref="K383:L383"/>
    <mergeCell ref="B384:F384"/>
    <mergeCell ref="K384:L384"/>
    <mergeCell ref="B517:F517"/>
    <mergeCell ref="K517:L517"/>
    <mergeCell ref="B518:F518"/>
    <mergeCell ref="K518:L518"/>
    <mergeCell ref="B519:F519"/>
    <mergeCell ref="K519:L519"/>
    <mergeCell ref="B507:F507"/>
    <mergeCell ref="K507:L507"/>
    <mergeCell ref="B508:F508"/>
    <mergeCell ref="K508:L508"/>
    <mergeCell ref="B509:F509"/>
    <mergeCell ref="K509:L509"/>
    <mergeCell ref="B510:F510"/>
    <mergeCell ref="K510:L510"/>
    <mergeCell ref="B582:F582"/>
    <mergeCell ref="K582:L582"/>
    <mergeCell ref="B577:F577"/>
    <mergeCell ref="K577:L577"/>
    <mergeCell ref="B578:F578"/>
    <mergeCell ref="K578:L578"/>
    <mergeCell ref="B579:F579"/>
    <mergeCell ref="K579:L579"/>
    <mergeCell ref="B580:F580"/>
    <mergeCell ref="K580:L580"/>
    <mergeCell ref="B581:F581"/>
    <mergeCell ref="K581:L581"/>
    <mergeCell ref="B572:F572"/>
    <mergeCell ref="K572:L572"/>
    <mergeCell ref="B573:F573"/>
    <mergeCell ref="K573:L573"/>
    <mergeCell ref="B574:F574"/>
    <mergeCell ref="K574:L574"/>
    <mergeCell ref="B575:F575"/>
    <mergeCell ref="K575:L575"/>
    <mergeCell ref="B576:F576"/>
    <mergeCell ref="K576:L576"/>
    <mergeCell ref="B567:F567"/>
    <mergeCell ref="K567:L567"/>
    <mergeCell ref="B568:F568"/>
    <mergeCell ref="K568:L568"/>
    <mergeCell ref="B569:F569"/>
    <mergeCell ref="K569:L569"/>
    <mergeCell ref="B570:F570"/>
    <mergeCell ref="K570:L570"/>
    <mergeCell ref="B571:F571"/>
    <mergeCell ref="K571:L571"/>
    <mergeCell ref="B562:F562"/>
    <mergeCell ref="K562:L562"/>
    <mergeCell ref="B563:F563"/>
    <mergeCell ref="K563:L563"/>
    <mergeCell ref="B564:F564"/>
    <mergeCell ref="K564:L564"/>
    <mergeCell ref="B565:F565"/>
    <mergeCell ref="K565:L565"/>
    <mergeCell ref="B566:F566"/>
    <mergeCell ref="K566:L566"/>
    <mergeCell ref="B557:F557"/>
    <mergeCell ref="K557:L557"/>
    <mergeCell ref="B558:F558"/>
    <mergeCell ref="K558:L558"/>
    <mergeCell ref="B559:F559"/>
    <mergeCell ref="K559:L559"/>
    <mergeCell ref="B560:F560"/>
    <mergeCell ref="K560:L560"/>
    <mergeCell ref="B561:F561"/>
    <mergeCell ref="K561:L561"/>
    <mergeCell ref="B552:F552"/>
    <mergeCell ref="K552:L552"/>
    <mergeCell ref="B553:F553"/>
    <mergeCell ref="K553:L553"/>
    <mergeCell ref="B554:F554"/>
    <mergeCell ref="K554:L554"/>
    <mergeCell ref="B555:F555"/>
    <mergeCell ref="K555:L555"/>
    <mergeCell ref="B556:F556"/>
    <mergeCell ref="K556:L556"/>
    <mergeCell ref="B547:F547"/>
    <mergeCell ref="K547:L547"/>
    <mergeCell ref="B548:F548"/>
    <mergeCell ref="K548:L548"/>
    <mergeCell ref="B549:F549"/>
    <mergeCell ref="K549:L549"/>
    <mergeCell ref="B550:F550"/>
    <mergeCell ref="K550:L550"/>
    <mergeCell ref="B551:F551"/>
    <mergeCell ref="K551:L551"/>
    <mergeCell ref="B542:F542"/>
    <mergeCell ref="K542:L542"/>
    <mergeCell ref="B543:F543"/>
    <mergeCell ref="K543:L543"/>
    <mergeCell ref="B544:F544"/>
    <mergeCell ref="K544:L544"/>
    <mergeCell ref="B545:F545"/>
    <mergeCell ref="K545:L545"/>
    <mergeCell ref="B546:F546"/>
    <mergeCell ref="K546:L546"/>
    <mergeCell ref="B537:F537"/>
    <mergeCell ref="K537:L537"/>
    <mergeCell ref="B538:F538"/>
    <mergeCell ref="K538:L538"/>
    <mergeCell ref="B539:F539"/>
    <mergeCell ref="K539:L539"/>
    <mergeCell ref="B540:F540"/>
    <mergeCell ref="K540:L540"/>
    <mergeCell ref="B541:F541"/>
    <mergeCell ref="K541:L541"/>
    <mergeCell ref="B532:F532"/>
    <mergeCell ref="K532:L532"/>
    <mergeCell ref="B533:F533"/>
    <mergeCell ref="K533:L533"/>
    <mergeCell ref="B534:F534"/>
    <mergeCell ref="K534:L534"/>
    <mergeCell ref="B535:F535"/>
    <mergeCell ref="K535:L535"/>
    <mergeCell ref="B536:F536"/>
    <mergeCell ref="K536:L536"/>
    <mergeCell ref="B530:F530"/>
    <mergeCell ref="K530:L530"/>
    <mergeCell ref="B531:F531"/>
    <mergeCell ref="K531:L531"/>
    <mergeCell ref="B522:F522"/>
    <mergeCell ref="B523:F523"/>
    <mergeCell ref="B524:F524"/>
    <mergeCell ref="B525:F525"/>
    <mergeCell ref="B526:F526"/>
    <mergeCell ref="B527:F527"/>
    <mergeCell ref="B528:F528"/>
    <mergeCell ref="B529:F529"/>
    <mergeCell ref="K522:L522"/>
    <mergeCell ref="K523:L523"/>
    <mergeCell ref="K524:L524"/>
    <mergeCell ref="K525:L525"/>
    <mergeCell ref="B512:F512"/>
    <mergeCell ref="K512:L512"/>
    <mergeCell ref="B513:F513"/>
    <mergeCell ref="K513:L513"/>
    <mergeCell ref="B514:F514"/>
    <mergeCell ref="K514:L514"/>
    <mergeCell ref="B515:F515"/>
    <mergeCell ref="K515:L515"/>
    <mergeCell ref="B516:F516"/>
    <mergeCell ref="K516:L516"/>
    <mergeCell ref="K526:L526"/>
    <mergeCell ref="K527:L527"/>
    <mergeCell ref="K528:L528"/>
    <mergeCell ref="K529:L529"/>
    <mergeCell ref="B520:F520"/>
    <mergeCell ref="K520:L520"/>
    <mergeCell ref="B511:F511"/>
    <mergeCell ref="K511:L511"/>
    <mergeCell ref="B502:F502"/>
    <mergeCell ref="K502:L502"/>
    <mergeCell ref="B503:F503"/>
    <mergeCell ref="K503:L503"/>
    <mergeCell ref="B504:F504"/>
    <mergeCell ref="K504:L504"/>
    <mergeCell ref="B505:F505"/>
    <mergeCell ref="K505:L505"/>
    <mergeCell ref="B506:F506"/>
    <mergeCell ref="K506:L506"/>
    <mergeCell ref="B498:F498"/>
    <mergeCell ref="K498:L498"/>
    <mergeCell ref="B499:F499"/>
    <mergeCell ref="K499:L499"/>
    <mergeCell ref="B500:F500"/>
    <mergeCell ref="K500:L500"/>
    <mergeCell ref="B501:F501"/>
    <mergeCell ref="K501:L501"/>
    <mergeCell ref="B493:F493"/>
    <mergeCell ref="K493:L493"/>
    <mergeCell ref="B494:F494"/>
    <mergeCell ref="K494:L494"/>
    <mergeCell ref="B495:F495"/>
    <mergeCell ref="K495:L495"/>
    <mergeCell ref="B496:F496"/>
    <mergeCell ref="K496:L496"/>
    <mergeCell ref="B497:F497"/>
    <mergeCell ref="K497:L497"/>
    <mergeCell ref="B488:F488"/>
    <mergeCell ref="K488:L488"/>
    <mergeCell ref="B489:F489"/>
    <mergeCell ref="K489:L489"/>
    <mergeCell ref="B490:F490"/>
    <mergeCell ref="K490:L490"/>
    <mergeCell ref="B491:F491"/>
    <mergeCell ref="K491:L491"/>
    <mergeCell ref="B492:F492"/>
    <mergeCell ref="K492:L492"/>
    <mergeCell ref="B483:F483"/>
    <mergeCell ref="K483:L483"/>
    <mergeCell ref="B484:F484"/>
    <mergeCell ref="K484:L484"/>
    <mergeCell ref="B485:F485"/>
    <mergeCell ref="K485:L485"/>
    <mergeCell ref="B486:F486"/>
    <mergeCell ref="K486:L486"/>
    <mergeCell ref="B487:F487"/>
    <mergeCell ref="K487:L487"/>
    <mergeCell ref="B478:F478"/>
    <mergeCell ref="K478:L478"/>
    <mergeCell ref="B479:F479"/>
    <mergeCell ref="K479:L479"/>
    <mergeCell ref="B480:F480"/>
    <mergeCell ref="K480:L480"/>
    <mergeCell ref="B481:F481"/>
    <mergeCell ref="K481:L481"/>
    <mergeCell ref="B482:F482"/>
    <mergeCell ref="K482:L482"/>
    <mergeCell ref="B473:F473"/>
    <mergeCell ref="K473:L473"/>
    <mergeCell ref="B474:F474"/>
    <mergeCell ref="K474:L474"/>
    <mergeCell ref="B475:F475"/>
    <mergeCell ref="K475:L475"/>
    <mergeCell ref="B476:F476"/>
    <mergeCell ref="K476:L476"/>
    <mergeCell ref="B477:F477"/>
    <mergeCell ref="K477:L477"/>
    <mergeCell ref="B468:F468"/>
    <mergeCell ref="K468:L468"/>
    <mergeCell ref="B469:F469"/>
    <mergeCell ref="K469:L469"/>
    <mergeCell ref="B470:F470"/>
    <mergeCell ref="K470:L470"/>
    <mergeCell ref="B471:F471"/>
    <mergeCell ref="K471:L471"/>
    <mergeCell ref="B472:F472"/>
    <mergeCell ref="K472:L472"/>
    <mergeCell ref="B463:F463"/>
    <mergeCell ref="K463:L463"/>
    <mergeCell ref="B464:F464"/>
    <mergeCell ref="K464:L464"/>
    <mergeCell ref="B465:F465"/>
    <mergeCell ref="K465:L465"/>
    <mergeCell ref="B466:F466"/>
    <mergeCell ref="K466:L466"/>
    <mergeCell ref="B467:F467"/>
    <mergeCell ref="K467:L467"/>
    <mergeCell ref="B460:F460"/>
    <mergeCell ref="K460:L460"/>
    <mergeCell ref="B461:F461"/>
    <mergeCell ref="K461:L461"/>
    <mergeCell ref="B462:F462"/>
    <mergeCell ref="K462:L462"/>
    <mergeCell ref="B457:F457"/>
    <mergeCell ref="K457:L457"/>
    <mergeCell ref="B458:F458"/>
    <mergeCell ref="K458:L458"/>
    <mergeCell ref="B459:F459"/>
    <mergeCell ref="K459:L459"/>
    <mergeCell ref="B452:F452"/>
    <mergeCell ref="K452:L452"/>
    <mergeCell ref="B453:F453"/>
    <mergeCell ref="K453:L453"/>
    <mergeCell ref="B454:F454"/>
    <mergeCell ref="K454:L454"/>
    <mergeCell ref="B455:F455"/>
    <mergeCell ref="K455:L455"/>
    <mergeCell ref="B456:F456"/>
    <mergeCell ref="K456:L456"/>
    <mergeCell ref="B447:F447"/>
    <mergeCell ref="K447:L447"/>
    <mergeCell ref="B448:F448"/>
    <mergeCell ref="K448:L448"/>
    <mergeCell ref="B449:F449"/>
    <mergeCell ref="K449:L449"/>
    <mergeCell ref="B450:F450"/>
    <mergeCell ref="K450:L450"/>
    <mergeCell ref="B451:F451"/>
    <mergeCell ref="K451:L451"/>
    <mergeCell ref="B442:F442"/>
    <mergeCell ref="K442:L442"/>
    <mergeCell ref="B443:F443"/>
    <mergeCell ref="K443:L443"/>
    <mergeCell ref="B444:F444"/>
    <mergeCell ref="K444:L444"/>
    <mergeCell ref="B445:F445"/>
    <mergeCell ref="K445:L445"/>
    <mergeCell ref="B446:F446"/>
    <mergeCell ref="K446:L446"/>
    <mergeCell ref="B437:F437"/>
    <mergeCell ref="K437:L437"/>
    <mergeCell ref="B438:F438"/>
    <mergeCell ref="K438:L438"/>
    <mergeCell ref="B439:F439"/>
    <mergeCell ref="K439:L439"/>
    <mergeCell ref="B440:F440"/>
    <mergeCell ref="K440:L440"/>
    <mergeCell ref="B441:F441"/>
    <mergeCell ref="K441:L441"/>
    <mergeCell ref="B432:F432"/>
    <mergeCell ref="K432:L432"/>
    <mergeCell ref="B433:F433"/>
    <mergeCell ref="K433:L433"/>
    <mergeCell ref="B434:F434"/>
    <mergeCell ref="K434:L434"/>
    <mergeCell ref="B435:F435"/>
    <mergeCell ref="K435:L435"/>
    <mergeCell ref="B436:F436"/>
    <mergeCell ref="K436:L436"/>
    <mergeCell ref="B427:F427"/>
    <mergeCell ref="K427:L427"/>
    <mergeCell ref="B428:F428"/>
    <mergeCell ref="K428:L428"/>
    <mergeCell ref="B429:F429"/>
    <mergeCell ref="K429:L429"/>
    <mergeCell ref="B430:F430"/>
    <mergeCell ref="K430:L430"/>
    <mergeCell ref="B431:F431"/>
    <mergeCell ref="K431:L431"/>
    <mergeCell ref="B422:F422"/>
    <mergeCell ref="K422:L422"/>
    <mergeCell ref="B423:F423"/>
    <mergeCell ref="K423:L423"/>
    <mergeCell ref="B424:F424"/>
    <mergeCell ref="K424:L424"/>
    <mergeCell ref="B425:F425"/>
    <mergeCell ref="K425:L425"/>
    <mergeCell ref="B426:F426"/>
    <mergeCell ref="K426:L426"/>
    <mergeCell ref="B417:F417"/>
    <mergeCell ref="K417:L417"/>
    <mergeCell ref="B418:F418"/>
    <mergeCell ref="K418:L418"/>
    <mergeCell ref="B419:F419"/>
    <mergeCell ref="K419:L419"/>
    <mergeCell ref="B420:F420"/>
    <mergeCell ref="K420:L420"/>
    <mergeCell ref="B421:F421"/>
    <mergeCell ref="K421:L421"/>
    <mergeCell ref="B412:F412"/>
    <mergeCell ref="K412:L412"/>
    <mergeCell ref="B413:F413"/>
    <mergeCell ref="K413:L413"/>
    <mergeCell ref="B414:F414"/>
    <mergeCell ref="K414:L414"/>
    <mergeCell ref="B415:F415"/>
    <mergeCell ref="K415:L415"/>
    <mergeCell ref="B416:F416"/>
    <mergeCell ref="K416:L416"/>
    <mergeCell ref="B407:F407"/>
    <mergeCell ref="K407:L407"/>
    <mergeCell ref="B408:F408"/>
    <mergeCell ref="K408:L408"/>
    <mergeCell ref="B409:F409"/>
    <mergeCell ref="K409:L409"/>
    <mergeCell ref="B410:F410"/>
    <mergeCell ref="K410:L410"/>
    <mergeCell ref="B411:F411"/>
    <mergeCell ref="K411:L411"/>
    <mergeCell ref="B402:F402"/>
    <mergeCell ref="K402:L402"/>
    <mergeCell ref="B403:F403"/>
    <mergeCell ref="K403:L403"/>
    <mergeCell ref="B404:F404"/>
    <mergeCell ref="K404:L404"/>
    <mergeCell ref="B405:F405"/>
    <mergeCell ref="K405:L405"/>
    <mergeCell ref="B406:F406"/>
    <mergeCell ref="K406:L406"/>
    <mergeCell ref="B397:F397"/>
    <mergeCell ref="K397:L397"/>
    <mergeCell ref="B398:F398"/>
    <mergeCell ref="K398:L398"/>
    <mergeCell ref="B399:F399"/>
    <mergeCell ref="K399:L399"/>
    <mergeCell ref="B400:F400"/>
    <mergeCell ref="K400:L400"/>
    <mergeCell ref="B401:F401"/>
    <mergeCell ref="K401:L401"/>
    <mergeCell ref="B21:F21"/>
    <mergeCell ref="K21:L21"/>
    <mergeCell ref="A9:Q9"/>
    <mergeCell ref="A10:Q10"/>
    <mergeCell ref="A11:Q11"/>
    <mergeCell ref="M1:Q1"/>
    <mergeCell ref="F2:Q2"/>
    <mergeCell ref="F3:Q3"/>
    <mergeCell ref="F4:Q4"/>
    <mergeCell ref="F5:Q5"/>
    <mergeCell ref="A8:Q8"/>
    <mergeCell ref="B25:F25"/>
    <mergeCell ref="K25:L25"/>
    <mergeCell ref="B26:F26"/>
    <mergeCell ref="K26:L26"/>
    <mergeCell ref="B27:F27"/>
    <mergeCell ref="K27:L27"/>
    <mergeCell ref="B22:F22"/>
    <mergeCell ref="K22:L22"/>
    <mergeCell ref="B23:F23"/>
    <mergeCell ref="K23:L23"/>
    <mergeCell ref="B24:F24"/>
    <mergeCell ref="K24:L24"/>
    <mergeCell ref="B31:F31"/>
    <mergeCell ref="K31:L31"/>
    <mergeCell ref="B32:F32"/>
    <mergeCell ref="K32:L32"/>
    <mergeCell ref="B33:F33"/>
    <mergeCell ref="K33:L33"/>
    <mergeCell ref="B28:F28"/>
    <mergeCell ref="K28:L28"/>
    <mergeCell ref="B29:F29"/>
    <mergeCell ref="K29:L29"/>
    <mergeCell ref="B30:F30"/>
    <mergeCell ref="K30:L30"/>
    <mergeCell ref="B37:F37"/>
    <mergeCell ref="K37:L37"/>
    <mergeCell ref="B38:F38"/>
    <mergeCell ref="K38:L38"/>
    <mergeCell ref="B39:F39"/>
    <mergeCell ref="K39:L39"/>
    <mergeCell ref="B34:F34"/>
    <mergeCell ref="K34:L34"/>
    <mergeCell ref="B35:F35"/>
    <mergeCell ref="K35:L35"/>
    <mergeCell ref="B36:F36"/>
    <mergeCell ref="K36:L36"/>
    <mergeCell ref="B43:F43"/>
    <mergeCell ref="K43:L43"/>
    <mergeCell ref="B44:F44"/>
    <mergeCell ref="K44:L44"/>
    <mergeCell ref="B45:F45"/>
    <mergeCell ref="K45:L45"/>
    <mergeCell ref="B40:F40"/>
    <mergeCell ref="K40:L40"/>
    <mergeCell ref="B41:F41"/>
    <mergeCell ref="K41:L41"/>
    <mergeCell ref="B42:F42"/>
    <mergeCell ref="K42:L42"/>
    <mergeCell ref="B49:F49"/>
    <mergeCell ref="K49:L49"/>
    <mergeCell ref="B50:F50"/>
    <mergeCell ref="K50:L50"/>
    <mergeCell ref="B51:F51"/>
    <mergeCell ref="K51:L51"/>
    <mergeCell ref="B46:F46"/>
    <mergeCell ref="K46:L46"/>
    <mergeCell ref="B47:F47"/>
    <mergeCell ref="K47:L47"/>
    <mergeCell ref="B48:F48"/>
    <mergeCell ref="K48:L48"/>
    <mergeCell ref="B55:F55"/>
    <mergeCell ref="K55:L55"/>
    <mergeCell ref="B56:F56"/>
    <mergeCell ref="K56:L56"/>
    <mergeCell ref="B57:F57"/>
    <mergeCell ref="K57:L57"/>
    <mergeCell ref="B52:F52"/>
    <mergeCell ref="K52:L52"/>
    <mergeCell ref="B53:F53"/>
    <mergeCell ref="K53:L53"/>
    <mergeCell ref="B54:F54"/>
    <mergeCell ref="K54:L54"/>
    <mergeCell ref="B61:F61"/>
    <mergeCell ref="K61:L61"/>
    <mergeCell ref="B62:F62"/>
    <mergeCell ref="K62:L62"/>
    <mergeCell ref="B63:F63"/>
    <mergeCell ref="K63:L63"/>
    <mergeCell ref="B58:F58"/>
    <mergeCell ref="K58:L58"/>
    <mergeCell ref="B59:F59"/>
    <mergeCell ref="K59:L59"/>
    <mergeCell ref="B60:F60"/>
    <mergeCell ref="K60:L60"/>
    <mergeCell ref="B67:F67"/>
    <mergeCell ref="K67:L67"/>
    <mergeCell ref="B68:F68"/>
    <mergeCell ref="K68:L68"/>
    <mergeCell ref="B69:F69"/>
    <mergeCell ref="K69:L69"/>
    <mergeCell ref="B64:F64"/>
    <mergeCell ref="K64:L64"/>
    <mergeCell ref="B65:F65"/>
    <mergeCell ref="K65:L65"/>
    <mergeCell ref="B66:F66"/>
    <mergeCell ref="K66:L66"/>
    <mergeCell ref="B73:F73"/>
    <mergeCell ref="K73:L73"/>
    <mergeCell ref="B74:F74"/>
    <mergeCell ref="K74:L74"/>
    <mergeCell ref="B75:F75"/>
    <mergeCell ref="K75:L75"/>
    <mergeCell ref="B70:F70"/>
    <mergeCell ref="K70:L70"/>
    <mergeCell ref="B71:F71"/>
    <mergeCell ref="K71:L71"/>
    <mergeCell ref="B72:F72"/>
    <mergeCell ref="K72:L72"/>
    <mergeCell ref="B79:F79"/>
    <mergeCell ref="K79:L79"/>
    <mergeCell ref="B80:F80"/>
    <mergeCell ref="K80:L80"/>
    <mergeCell ref="B81:F81"/>
    <mergeCell ref="K81:L81"/>
    <mergeCell ref="B76:F76"/>
    <mergeCell ref="K76:L76"/>
    <mergeCell ref="B77:F77"/>
    <mergeCell ref="K77:L77"/>
    <mergeCell ref="B78:F78"/>
    <mergeCell ref="K78:L78"/>
    <mergeCell ref="B85:F85"/>
    <mergeCell ref="K85:L85"/>
    <mergeCell ref="B86:F86"/>
    <mergeCell ref="K86:L86"/>
    <mergeCell ref="B87:F87"/>
    <mergeCell ref="K87:L87"/>
    <mergeCell ref="B82:F82"/>
    <mergeCell ref="K82:L82"/>
    <mergeCell ref="B83:F83"/>
    <mergeCell ref="K83:L83"/>
    <mergeCell ref="B84:F84"/>
    <mergeCell ref="K84:L84"/>
    <mergeCell ref="B91:F91"/>
    <mergeCell ref="K91:L91"/>
    <mergeCell ref="B92:F92"/>
    <mergeCell ref="K92:L92"/>
    <mergeCell ref="B93:F93"/>
    <mergeCell ref="K93:L93"/>
    <mergeCell ref="B88:F88"/>
    <mergeCell ref="K88:L88"/>
    <mergeCell ref="B89:F89"/>
    <mergeCell ref="K89:L89"/>
    <mergeCell ref="B90:F90"/>
    <mergeCell ref="K90:L90"/>
    <mergeCell ref="B97:F97"/>
    <mergeCell ref="K97:L97"/>
    <mergeCell ref="B98:F98"/>
    <mergeCell ref="K98:L98"/>
    <mergeCell ref="B99:F99"/>
    <mergeCell ref="K99:L99"/>
    <mergeCell ref="B94:F94"/>
    <mergeCell ref="K94:L94"/>
    <mergeCell ref="B95:F95"/>
    <mergeCell ref="K95:L95"/>
    <mergeCell ref="B96:F96"/>
    <mergeCell ref="K96:L96"/>
    <mergeCell ref="B103:F103"/>
    <mergeCell ref="K103:L103"/>
    <mergeCell ref="B104:F104"/>
    <mergeCell ref="K104:L104"/>
    <mergeCell ref="B105:F105"/>
    <mergeCell ref="K105:L105"/>
    <mergeCell ref="B100:F100"/>
    <mergeCell ref="K100:L100"/>
    <mergeCell ref="B101:F101"/>
    <mergeCell ref="K101:L101"/>
    <mergeCell ref="B102:F102"/>
    <mergeCell ref="K102:L102"/>
    <mergeCell ref="B109:F109"/>
    <mergeCell ref="K109:L109"/>
    <mergeCell ref="B110:F110"/>
    <mergeCell ref="K110:L110"/>
    <mergeCell ref="B111:F111"/>
    <mergeCell ref="K111:L111"/>
    <mergeCell ref="B106:F106"/>
    <mergeCell ref="K106:L106"/>
    <mergeCell ref="B107:F107"/>
    <mergeCell ref="K107:L107"/>
    <mergeCell ref="B108:F108"/>
    <mergeCell ref="K108:L108"/>
    <mergeCell ref="B115:F115"/>
    <mergeCell ref="K115:L115"/>
    <mergeCell ref="B116:F116"/>
    <mergeCell ref="K116:L116"/>
    <mergeCell ref="B117:F117"/>
    <mergeCell ref="K117:L117"/>
    <mergeCell ref="B112:F112"/>
    <mergeCell ref="K112:L112"/>
    <mergeCell ref="B113:F113"/>
    <mergeCell ref="K113:L113"/>
    <mergeCell ref="B114:F114"/>
    <mergeCell ref="K114:L114"/>
    <mergeCell ref="B121:F121"/>
    <mergeCell ref="K121:L121"/>
    <mergeCell ref="B122:F122"/>
    <mergeCell ref="K122:L122"/>
    <mergeCell ref="B123:F123"/>
    <mergeCell ref="K123:L123"/>
    <mergeCell ref="B118:F118"/>
    <mergeCell ref="K118:L118"/>
    <mergeCell ref="B119:F119"/>
    <mergeCell ref="K119:L119"/>
    <mergeCell ref="B120:F120"/>
    <mergeCell ref="K120:L120"/>
    <mergeCell ref="B136:F136"/>
    <mergeCell ref="K136:L136"/>
    <mergeCell ref="B137:F137"/>
    <mergeCell ref="K137:L137"/>
    <mergeCell ref="B138:F138"/>
    <mergeCell ref="K138:L138"/>
    <mergeCell ref="B124:F124"/>
    <mergeCell ref="K124:L124"/>
    <mergeCell ref="B125:F125"/>
    <mergeCell ref="K125:L125"/>
    <mergeCell ref="B130:F130"/>
    <mergeCell ref="K130:L130"/>
    <mergeCell ref="B131:F131"/>
    <mergeCell ref="B132:F132"/>
    <mergeCell ref="B133:F133"/>
    <mergeCell ref="B134:F134"/>
    <mergeCell ref="B135:F135"/>
    <mergeCell ref="B126:F126"/>
    <mergeCell ref="K126:L126"/>
    <mergeCell ref="B127:F127"/>
    <mergeCell ref="K127:L127"/>
    <mergeCell ref="B128:F128"/>
    <mergeCell ref="B139:F139"/>
    <mergeCell ref="K139:L139"/>
    <mergeCell ref="B140:F140"/>
    <mergeCell ref="K140:L140"/>
    <mergeCell ref="B142:F142"/>
    <mergeCell ref="B143:F143"/>
    <mergeCell ref="B144:F144"/>
    <mergeCell ref="B145:F145"/>
    <mergeCell ref="B146:F146"/>
    <mergeCell ref="B149:F149"/>
    <mergeCell ref="K149:L149"/>
    <mergeCell ref="B150:F150"/>
    <mergeCell ref="K150:L150"/>
    <mergeCell ref="B151:F151"/>
    <mergeCell ref="K151:L151"/>
    <mergeCell ref="B141:F141"/>
    <mergeCell ref="K141:L141"/>
    <mergeCell ref="B147:F147"/>
    <mergeCell ref="K147:L147"/>
    <mergeCell ref="B148:F148"/>
    <mergeCell ref="K148:L148"/>
    <mergeCell ref="B155:F155"/>
    <mergeCell ref="K155:L155"/>
    <mergeCell ref="B156:F156"/>
    <mergeCell ref="K156:L156"/>
    <mergeCell ref="B157:F157"/>
    <mergeCell ref="K157:L157"/>
    <mergeCell ref="B152:F152"/>
    <mergeCell ref="K152:L152"/>
    <mergeCell ref="B153:F153"/>
    <mergeCell ref="K153:L153"/>
    <mergeCell ref="B154:F154"/>
    <mergeCell ref="K154:L154"/>
    <mergeCell ref="B161:F161"/>
    <mergeCell ref="K161:L161"/>
    <mergeCell ref="B162:F162"/>
    <mergeCell ref="K162:L162"/>
    <mergeCell ref="B163:F163"/>
    <mergeCell ref="K163:L163"/>
    <mergeCell ref="B158:F158"/>
    <mergeCell ref="K158:L158"/>
    <mergeCell ref="B159:F159"/>
    <mergeCell ref="K159:L159"/>
    <mergeCell ref="B160:F160"/>
    <mergeCell ref="K160:L160"/>
    <mergeCell ref="B167:F167"/>
    <mergeCell ref="K167:L167"/>
    <mergeCell ref="B168:F168"/>
    <mergeCell ref="K168:L168"/>
    <mergeCell ref="B169:F169"/>
    <mergeCell ref="K169:L169"/>
    <mergeCell ref="B164:F164"/>
    <mergeCell ref="K164:L164"/>
    <mergeCell ref="B165:F165"/>
    <mergeCell ref="K165:L165"/>
    <mergeCell ref="B166:F166"/>
    <mergeCell ref="K166:L166"/>
    <mergeCell ref="B173:F173"/>
    <mergeCell ref="K173:L173"/>
    <mergeCell ref="B174:F174"/>
    <mergeCell ref="K174:L174"/>
    <mergeCell ref="B175:F175"/>
    <mergeCell ref="K175:L175"/>
    <mergeCell ref="B170:F170"/>
    <mergeCell ref="K170:L170"/>
    <mergeCell ref="B171:F171"/>
    <mergeCell ref="K171:L171"/>
    <mergeCell ref="B172:F172"/>
    <mergeCell ref="K172:L172"/>
    <mergeCell ref="B179:F179"/>
    <mergeCell ref="K179:L179"/>
    <mergeCell ref="B180:F180"/>
    <mergeCell ref="K180:L180"/>
    <mergeCell ref="B181:F181"/>
    <mergeCell ref="K181:L181"/>
    <mergeCell ref="B176:F176"/>
    <mergeCell ref="K176:L176"/>
    <mergeCell ref="B177:F177"/>
    <mergeCell ref="K177:L177"/>
    <mergeCell ref="B178:F178"/>
    <mergeCell ref="K178:L178"/>
    <mergeCell ref="B185:F185"/>
    <mergeCell ref="K185:L185"/>
    <mergeCell ref="B186:F186"/>
    <mergeCell ref="K186:L186"/>
    <mergeCell ref="B187:F187"/>
    <mergeCell ref="K187:L187"/>
    <mergeCell ref="B182:F182"/>
    <mergeCell ref="K182:L182"/>
    <mergeCell ref="B183:F183"/>
    <mergeCell ref="K183:L183"/>
    <mergeCell ref="B184:F184"/>
    <mergeCell ref="K184:L184"/>
    <mergeCell ref="B191:F191"/>
    <mergeCell ref="K191:L191"/>
    <mergeCell ref="B192:F192"/>
    <mergeCell ref="K192:L192"/>
    <mergeCell ref="B193:F193"/>
    <mergeCell ref="K193:L193"/>
    <mergeCell ref="B188:F188"/>
    <mergeCell ref="K188:L188"/>
    <mergeCell ref="B189:F189"/>
    <mergeCell ref="K189:L189"/>
    <mergeCell ref="B190:F190"/>
    <mergeCell ref="K190:L190"/>
    <mergeCell ref="B197:F197"/>
    <mergeCell ref="K197:L197"/>
    <mergeCell ref="B198:F198"/>
    <mergeCell ref="K198:L198"/>
    <mergeCell ref="B199:F199"/>
    <mergeCell ref="K199:L199"/>
    <mergeCell ref="B194:F194"/>
    <mergeCell ref="K194:L194"/>
    <mergeCell ref="B195:F195"/>
    <mergeCell ref="K195:L195"/>
    <mergeCell ref="B196:F196"/>
    <mergeCell ref="K196:L196"/>
    <mergeCell ref="B203:F203"/>
    <mergeCell ref="K203:L203"/>
    <mergeCell ref="B204:F204"/>
    <mergeCell ref="K204:L204"/>
    <mergeCell ref="B205:F205"/>
    <mergeCell ref="K205:L205"/>
    <mergeCell ref="B200:F200"/>
    <mergeCell ref="K200:L200"/>
    <mergeCell ref="B201:F201"/>
    <mergeCell ref="K201:L201"/>
    <mergeCell ref="B202:F202"/>
    <mergeCell ref="K202:L202"/>
    <mergeCell ref="B209:F209"/>
    <mergeCell ref="K209:L209"/>
    <mergeCell ref="B210:F210"/>
    <mergeCell ref="K210:L210"/>
    <mergeCell ref="B211:F211"/>
    <mergeCell ref="K211:L211"/>
    <mergeCell ref="B206:F206"/>
    <mergeCell ref="K206:L206"/>
    <mergeCell ref="B207:F207"/>
    <mergeCell ref="K207:L207"/>
    <mergeCell ref="B208:F208"/>
    <mergeCell ref="K208:L208"/>
    <mergeCell ref="B215:F215"/>
    <mergeCell ref="K215:L215"/>
    <mergeCell ref="B216:F216"/>
    <mergeCell ref="K216:L216"/>
    <mergeCell ref="B217:F217"/>
    <mergeCell ref="K217:L217"/>
    <mergeCell ref="B212:F212"/>
    <mergeCell ref="K212:L212"/>
    <mergeCell ref="B213:F213"/>
    <mergeCell ref="K213:L213"/>
    <mergeCell ref="B214:F214"/>
    <mergeCell ref="K214:L214"/>
    <mergeCell ref="B221:F221"/>
    <mergeCell ref="K221:L221"/>
    <mergeCell ref="B222:F222"/>
    <mergeCell ref="K222:L222"/>
    <mergeCell ref="B223:F223"/>
    <mergeCell ref="K223:L223"/>
    <mergeCell ref="B218:F218"/>
    <mergeCell ref="K218:L218"/>
    <mergeCell ref="B219:F219"/>
    <mergeCell ref="K219:L219"/>
    <mergeCell ref="B220:F220"/>
    <mergeCell ref="K220:L220"/>
    <mergeCell ref="B227:F227"/>
    <mergeCell ref="K227:L227"/>
    <mergeCell ref="B228:F228"/>
    <mergeCell ref="K228:L228"/>
    <mergeCell ref="B229:F229"/>
    <mergeCell ref="K229:L229"/>
    <mergeCell ref="B224:F224"/>
    <mergeCell ref="K224:L224"/>
    <mergeCell ref="B225:F225"/>
    <mergeCell ref="K225:L225"/>
    <mergeCell ref="B226:F226"/>
    <mergeCell ref="K226:L226"/>
    <mergeCell ref="B233:F233"/>
    <mergeCell ref="K233:L233"/>
    <mergeCell ref="B234:F234"/>
    <mergeCell ref="K234:L234"/>
    <mergeCell ref="B235:F235"/>
    <mergeCell ref="K235:L235"/>
    <mergeCell ref="B230:F230"/>
    <mergeCell ref="K230:L230"/>
    <mergeCell ref="B231:F231"/>
    <mergeCell ref="K231:L231"/>
    <mergeCell ref="B232:F232"/>
    <mergeCell ref="K232:L232"/>
    <mergeCell ref="B239:F239"/>
    <mergeCell ref="K239:L239"/>
    <mergeCell ref="B240:F240"/>
    <mergeCell ref="K240:L240"/>
    <mergeCell ref="B241:F241"/>
    <mergeCell ref="K241:L241"/>
    <mergeCell ref="B236:F236"/>
    <mergeCell ref="K236:L236"/>
    <mergeCell ref="B237:F237"/>
    <mergeCell ref="K237:L237"/>
    <mergeCell ref="B238:F238"/>
    <mergeCell ref="K238:L238"/>
    <mergeCell ref="B245:F245"/>
    <mergeCell ref="K245:L245"/>
    <mergeCell ref="B246:F246"/>
    <mergeCell ref="K246:L246"/>
    <mergeCell ref="B247:F247"/>
    <mergeCell ref="K247:L247"/>
    <mergeCell ref="B242:F242"/>
    <mergeCell ref="K242:L242"/>
    <mergeCell ref="B243:F243"/>
    <mergeCell ref="K243:L243"/>
    <mergeCell ref="B244:F244"/>
    <mergeCell ref="K244:L244"/>
    <mergeCell ref="B251:F251"/>
    <mergeCell ref="K251:L251"/>
    <mergeCell ref="B252:F252"/>
    <mergeCell ref="K252:L252"/>
    <mergeCell ref="B253:F253"/>
    <mergeCell ref="K253:L253"/>
    <mergeCell ref="B248:F248"/>
    <mergeCell ref="K248:L248"/>
    <mergeCell ref="B249:F249"/>
    <mergeCell ref="K249:L249"/>
    <mergeCell ref="B250:F250"/>
    <mergeCell ref="K250:L250"/>
    <mergeCell ref="B257:F257"/>
    <mergeCell ref="K257:L257"/>
    <mergeCell ref="B258:F258"/>
    <mergeCell ref="K258:L258"/>
    <mergeCell ref="B259:F259"/>
    <mergeCell ref="K259:L259"/>
    <mergeCell ref="B254:F254"/>
    <mergeCell ref="K254:L254"/>
    <mergeCell ref="B255:F255"/>
    <mergeCell ref="K255:L255"/>
    <mergeCell ref="B256:F256"/>
    <mergeCell ref="K256:L256"/>
    <mergeCell ref="B263:F263"/>
    <mergeCell ref="K263:L263"/>
    <mergeCell ref="B264:F264"/>
    <mergeCell ref="K264:L264"/>
    <mergeCell ref="B265:F265"/>
    <mergeCell ref="K265:L265"/>
    <mergeCell ref="B260:F260"/>
    <mergeCell ref="K260:L260"/>
    <mergeCell ref="B261:F261"/>
    <mergeCell ref="K261:L261"/>
    <mergeCell ref="B262:F262"/>
    <mergeCell ref="K262:L262"/>
    <mergeCell ref="B269:F269"/>
    <mergeCell ref="K269:L269"/>
    <mergeCell ref="B270:F270"/>
    <mergeCell ref="K270:L270"/>
    <mergeCell ref="B271:F271"/>
    <mergeCell ref="K271:L271"/>
    <mergeCell ref="B266:F266"/>
    <mergeCell ref="K266:L266"/>
    <mergeCell ref="B267:F267"/>
    <mergeCell ref="K267:L267"/>
    <mergeCell ref="B268:F268"/>
    <mergeCell ref="K268:L268"/>
    <mergeCell ref="B275:F275"/>
    <mergeCell ref="K275:L275"/>
    <mergeCell ref="B276:F276"/>
    <mergeCell ref="K276:L276"/>
    <mergeCell ref="B277:F277"/>
    <mergeCell ref="K277:L277"/>
    <mergeCell ref="B272:F272"/>
    <mergeCell ref="K272:L272"/>
    <mergeCell ref="B273:F273"/>
    <mergeCell ref="K273:L273"/>
    <mergeCell ref="B274:F274"/>
    <mergeCell ref="K274:L274"/>
    <mergeCell ref="B281:F281"/>
    <mergeCell ref="K281:L281"/>
    <mergeCell ref="B282:F282"/>
    <mergeCell ref="K282:L282"/>
    <mergeCell ref="B283:F283"/>
    <mergeCell ref="K283:L283"/>
    <mergeCell ref="B278:F278"/>
    <mergeCell ref="K278:L278"/>
    <mergeCell ref="B279:F279"/>
    <mergeCell ref="K279:L279"/>
    <mergeCell ref="B280:F280"/>
    <mergeCell ref="K280:L280"/>
    <mergeCell ref="B287:F287"/>
    <mergeCell ref="K287:L287"/>
    <mergeCell ref="B288:F288"/>
    <mergeCell ref="K288:L288"/>
    <mergeCell ref="B289:F289"/>
    <mergeCell ref="K289:L289"/>
    <mergeCell ref="B284:F284"/>
    <mergeCell ref="K284:L284"/>
    <mergeCell ref="B285:F285"/>
    <mergeCell ref="K285:L285"/>
    <mergeCell ref="B286:F286"/>
    <mergeCell ref="K286:L286"/>
    <mergeCell ref="B293:F293"/>
    <mergeCell ref="K293:L293"/>
    <mergeCell ref="B294:F294"/>
    <mergeCell ref="K294:L294"/>
    <mergeCell ref="B295:F295"/>
    <mergeCell ref="K295:L295"/>
    <mergeCell ref="B290:F290"/>
    <mergeCell ref="K290:L290"/>
    <mergeCell ref="B291:F291"/>
    <mergeCell ref="K291:L291"/>
    <mergeCell ref="B292:F292"/>
    <mergeCell ref="K292:L292"/>
    <mergeCell ref="B299:F299"/>
    <mergeCell ref="K299:L299"/>
    <mergeCell ref="B300:F300"/>
    <mergeCell ref="K300:L300"/>
    <mergeCell ref="B301:F301"/>
    <mergeCell ref="K301:L301"/>
    <mergeCell ref="B296:F296"/>
    <mergeCell ref="K296:L296"/>
    <mergeCell ref="B297:F297"/>
    <mergeCell ref="K297:L297"/>
    <mergeCell ref="B298:F298"/>
    <mergeCell ref="K298:L298"/>
    <mergeCell ref="B305:F305"/>
    <mergeCell ref="K305:L305"/>
    <mergeCell ref="B306:F306"/>
    <mergeCell ref="K306:L306"/>
    <mergeCell ref="B307:F307"/>
    <mergeCell ref="K307:L307"/>
    <mergeCell ref="B302:F302"/>
    <mergeCell ref="K302:L302"/>
    <mergeCell ref="B303:F303"/>
    <mergeCell ref="K303:L303"/>
    <mergeCell ref="B304:F304"/>
    <mergeCell ref="K304:L304"/>
    <mergeCell ref="B314:F314"/>
    <mergeCell ref="K314:L314"/>
    <mergeCell ref="B311:F311"/>
    <mergeCell ref="K311:L311"/>
    <mergeCell ref="B312:F312"/>
    <mergeCell ref="K312:L312"/>
    <mergeCell ref="B313:F313"/>
    <mergeCell ref="K313:L313"/>
    <mergeCell ref="B308:F308"/>
    <mergeCell ref="K308:L308"/>
    <mergeCell ref="B309:F309"/>
    <mergeCell ref="K309:L309"/>
    <mergeCell ref="B310:F310"/>
    <mergeCell ref="K310:L310"/>
    <mergeCell ref="B318:F318"/>
    <mergeCell ref="K318:L318"/>
    <mergeCell ref="B319:F319"/>
    <mergeCell ref="K319:L319"/>
    <mergeCell ref="B320:F320"/>
    <mergeCell ref="K320:L320"/>
    <mergeCell ref="B315:F315"/>
    <mergeCell ref="K315:L315"/>
    <mergeCell ref="B316:F316"/>
    <mergeCell ref="K316:L316"/>
    <mergeCell ref="B317:F317"/>
    <mergeCell ref="K317:L317"/>
    <mergeCell ref="B324:F324"/>
    <mergeCell ref="K324:L324"/>
    <mergeCell ref="B325:F325"/>
    <mergeCell ref="K325:L325"/>
    <mergeCell ref="B326:F326"/>
    <mergeCell ref="K326:L326"/>
    <mergeCell ref="B321:F321"/>
    <mergeCell ref="K321:L321"/>
    <mergeCell ref="B322:F322"/>
    <mergeCell ref="K322:L322"/>
    <mergeCell ref="B323:F323"/>
    <mergeCell ref="K323:L323"/>
    <mergeCell ref="B330:F330"/>
    <mergeCell ref="K330:L330"/>
    <mergeCell ref="B331:F331"/>
    <mergeCell ref="K331:L331"/>
    <mergeCell ref="B332:F332"/>
    <mergeCell ref="K332:L332"/>
    <mergeCell ref="B327:F327"/>
    <mergeCell ref="K327:L327"/>
    <mergeCell ref="B328:F328"/>
    <mergeCell ref="K328:L328"/>
    <mergeCell ref="B329:F329"/>
    <mergeCell ref="K329:L329"/>
    <mergeCell ref="B336:F336"/>
    <mergeCell ref="K336:L336"/>
    <mergeCell ref="B337:F337"/>
    <mergeCell ref="K337:L337"/>
    <mergeCell ref="B338:F338"/>
    <mergeCell ref="K338:L338"/>
    <mergeCell ref="B333:F333"/>
    <mergeCell ref="K333:L333"/>
    <mergeCell ref="B334:F334"/>
    <mergeCell ref="K334:L334"/>
    <mergeCell ref="B335:F335"/>
    <mergeCell ref="K335:L335"/>
    <mergeCell ref="K359:L359"/>
    <mergeCell ref="B342:F342"/>
    <mergeCell ref="K342:L342"/>
    <mergeCell ref="B343:F343"/>
    <mergeCell ref="K343:L343"/>
    <mergeCell ref="B344:F344"/>
    <mergeCell ref="K344:L344"/>
    <mergeCell ref="B339:F339"/>
    <mergeCell ref="K339:L339"/>
    <mergeCell ref="B340:F340"/>
    <mergeCell ref="K340:L340"/>
    <mergeCell ref="B341:F341"/>
    <mergeCell ref="K341:L341"/>
    <mergeCell ref="B348:F348"/>
    <mergeCell ref="K348:L348"/>
    <mergeCell ref="B349:F349"/>
    <mergeCell ref="K349:L349"/>
    <mergeCell ref="B350:F350"/>
    <mergeCell ref="K350:L350"/>
    <mergeCell ref="B345:F345"/>
    <mergeCell ref="K345:L345"/>
    <mergeCell ref="B346:F346"/>
    <mergeCell ref="K346:L346"/>
    <mergeCell ref="B347:F347"/>
    <mergeCell ref="K347:L347"/>
    <mergeCell ref="K373:L373"/>
    <mergeCell ref="B374:F374"/>
    <mergeCell ref="K374:L374"/>
    <mergeCell ref="B369:F369"/>
    <mergeCell ref="K369:L369"/>
    <mergeCell ref="B370:F370"/>
    <mergeCell ref="K370:L370"/>
    <mergeCell ref="B371:F371"/>
    <mergeCell ref="K371:L371"/>
    <mergeCell ref="B354:F354"/>
    <mergeCell ref="K354:L354"/>
    <mergeCell ref="B355:F355"/>
    <mergeCell ref="K355:L355"/>
    <mergeCell ref="B356:F356"/>
    <mergeCell ref="K356:L356"/>
    <mergeCell ref="B351:F351"/>
    <mergeCell ref="K351:L351"/>
    <mergeCell ref="B352:F352"/>
    <mergeCell ref="K352:L352"/>
    <mergeCell ref="B353:F353"/>
    <mergeCell ref="K353:L353"/>
    <mergeCell ref="B360:F360"/>
    <mergeCell ref="K360:L360"/>
    <mergeCell ref="B361:F361"/>
    <mergeCell ref="K361:L361"/>
    <mergeCell ref="B362:F362"/>
    <mergeCell ref="K362:L362"/>
    <mergeCell ref="B357:F357"/>
    <mergeCell ref="K357:L357"/>
    <mergeCell ref="B358:F358"/>
    <mergeCell ref="K358:L358"/>
    <mergeCell ref="B359:F359"/>
    <mergeCell ref="B378:F378"/>
    <mergeCell ref="K378:L378"/>
    <mergeCell ref="B379:F379"/>
    <mergeCell ref="K379:L379"/>
    <mergeCell ref="B385:F385"/>
    <mergeCell ref="K385:L385"/>
    <mergeCell ref="B375:F375"/>
    <mergeCell ref="K375:L375"/>
    <mergeCell ref="B376:F376"/>
    <mergeCell ref="K376:L376"/>
    <mergeCell ref="B377:F377"/>
    <mergeCell ref="K377:L377"/>
    <mergeCell ref="K128:L128"/>
    <mergeCell ref="B129:F129"/>
    <mergeCell ref="K129:L129"/>
    <mergeCell ref="B395:F395"/>
    <mergeCell ref="K395:L395"/>
    <mergeCell ref="B366:F366"/>
    <mergeCell ref="K366:L366"/>
    <mergeCell ref="B367:F367"/>
    <mergeCell ref="K367:L367"/>
    <mergeCell ref="B368:F368"/>
    <mergeCell ref="K368:L368"/>
    <mergeCell ref="B363:F363"/>
    <mergeCell ref="K363:L363"/>
    <mergeCell ref="B364:F364"/>
    <mergeCell ref="K364:L364"/>
    <mergeCell ref="B365:F365"/>
    <mergeCell ref="K365:L365"/>
    <mergeCell ref="B372:F372"/>
    <mergeCell ref="K372:L372"/>
    <mergeCell ref="B373:F373"/>
    <mergeCell ref="B396:F396"/>
    <mergeCell ref="K396:L396"/>
    <mergeCell ref="B392:F392"/>
    <mergeCell ref="K392:L392"/>
    <mergeCell ref="B393:F393"/>
    <mergeCell ref="K393:L393"/>
    <mergeCell ref="B394:F394"/>
    <mergeCell ref="K394:L394"/>
    <mergeCell ref="B389:F389"/>
    <mergeCell ref="K389:L389"/>
    <mergeCell ref="B390:F390"/>
    <mergeCell ref="K390:L390"/>
    <mergeCell ref="B391:F391"/>
    <mergeCell ref="K391:L391"/>
    <mergeCell ref="B386:F386"/>
    <mergeCell ref="K386:L386"/>
    <mergeCell ref="B387:F387"/>
    <mergeCell ref="K387:L387"/>
    <mergeCell ref="B388:F388"/>
    <mergeCell ref="K388:L388"/>
  </mergeCells>
  <pageMargins left="0.39370078740157499" right="0.39370078740157499" top="0.999999984981507" bottom="0.999999984981507" header="0.499999992490753" footer="0.499999992490753"/>
  <pageSetup paperSize="9" scale="85" fitToHeight="0" orientation="portrait" r:id="rId1"/>
  <headerFooter alignWithMargins="0">
    <oddHeader>&amp;CСтраница &amp;P из &amp;N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1:E21"/>
  <sheetViews>
    <sheetView view="pageBreakPreview" workbookViewId="0">
      <selection activeCell="E2" sqref="E2"/>
    </sheetView>
  </sheetViews>
  <sheetFormatPr defaultRowHeight="15.75" x14ac:dyDescent="0.25"/>
  <cols>
    <col min="1" max="1" width="6.85546875" style="20" customWidth="1"/>
    <col min="2" max="2" width="34.140625" style="20" customWidth="1"/>
    <col min="3" max="5" width="14.85546875" style="20" customWidth="1"/>
    <col min="6" max="256" width="9.140625" style="20"/>
    <col min="257" max="257" width="6.85546875" style="20" customWidth="1"/>
    <col min="258" max="258" width="34.140625" style="20" customWidth="1"/>
    <col min="259" max="261" width="14.85546875" style="20" customWidth="1"/>
    <col min="262" max="512" width="9.140625" style="20"/>
    <col min="513" max="513" width="6.85546875" style="20" customWidth="1"/>
    <col min="514" max="514" width="34.140625" style="20" customWidth="1"/>
    <col min="515" max="517" width="14.85546875" style="20" customWidth="1"/>
    <col min="518" max="768" width="9.140625" style="20"/>
    <col min="769" max="769" width="6.85546875" style="20" customWidth="1"/>
    <col min="770" max="770" width="34.140625" style="20" customWidth="1"/>
    <col min="771" max="773" width="14.85546875" style="20" customWidth="1"/>
    <col min="774" max="1024" width="9.140625" style="20"/>
    <col min="1025" max="1025" width="6.85546875" style="20" customWidth="1"/>
    <col min="1026" max="1026" width="34.140625" style="20" customWidth="1"/>
    <col min="1027" max="1029" width="14.85546875" style="20" customWidth="1"/>
    <col min="1030" max="1280" width="9.140625" style="20"/>
    <col min="1281" max="1281" width="6.85546875" style="20" customWidth="1"/>
    <col min="1282" max="1282" width="34.140625" style="20" customWidth="1"/>
    <col min="1283" max="1285" width="14.85546875" style="20" customWidth="1"/>
    <col min="1286" max="1536" width="9.140625" style="20"/>
    <col min="1537" max="1537" width="6.85546875" style="20" customWidth="1"/>
    <col min="1538" max="1538" width="34.140625" style="20" customWidth="1"/>
    <col min="1539" max="1541" width="14.85546875" style="20" customWidth="1"/>
    <col min="1542" max="1792" width="9.140625" style="20"/>
    <col min="1793" max="1793" width="6.85546875" style="20" customWidth="1"/>
    <col min="1794" max="1794" width="34.140625" style="20" customWidth="1"/>
    <col min="1795" max="1797" width="14.85546875" style="20" customWidth="1"/>
    <col min="1798" max="2048" width="9.140625" style="20"/>
    <col min="2049" max="2049" width="6.85546875" style="20" customWidth="1"/>
    <col min="2050" max="2050" width="34.140625" style="20" customWidth="1"/>
    <col min="2051" max="2053" width="14.85546875" style="20" customWidth="1"/>
    <col min="2054" max="2304" width="9.140625" style="20"/>
    <col min="2305" max="2305" width="6.85546875" style="20" customWidth="1"/>
    <col min="2306" max="2306" width="34.140625" style="20" customWidth="1"/>
    <col min="2307" max="2309" width="14.85546875" style="20" customWidth="1"/>
    <col min="2310" max="2560" width="9.140625" style="20"/>
    <col min="2561" max="2561" width="6.85546875" style="20" customWidth="1"/>
    <col min="2562" max="2562" width="34.140625" style="20" customWidth="1"/>
    <col min="2563" max="2565" width="14.85546875" style="20" customWidth="1"/>
    <col min="2566" max="2816" width="9.140625" style="20"/>
    <col min="2817" max="2817" width="6.85546875" style="20" customWidth="1"/>
    <col min="2818" max="2818" width="34.140625" style="20" customWidth="1"/>
    <col min="2819" max="2821" width="14.85546875" style="20" customWidth="1"/>
    <col min="2822" max="3072" width="9.140625" style="20"/>
    <col min="3073" max="3073" width="6.85546875" style="20" customWidth="1"/>
    <col min="3074" max="3074" width="34.140625" style="20" customWidth="1"/>
    <col min="3075" max="3077" width="14.85546875" style="20" customWidth="1"/>
    <col min="3078" max="3328" width="9.140625" style="20"/>
    <col min="3329" max="3329" width="6.85546875" style="20" customWidth="1"/>
    <col min="3330" max="3330" width="34.140625" style="20" customWidth="1"/>
    <col min="3331" max="3333" width="14.85546875" style="20" customWidth="1"/>
    <col min="3334" max="3584" width="9.140625" style="20"/>
    <col min="3585" max="3585" width="6.85546875" style="20" customWidth="1"/>
    <col min="3586" max="3586" width="34.140625" style="20" customWidth="1"/>
    <col min="3587" max="3589" width="14.85546875" style="20" customWidth="1"/>
    <col min="3590" max="3840" width="9.140625" style="20"/>
    <col min="3841" max="3841" width="6.85546875" style="20" customWidth="1"/>
    <col min="3842" max="3842" width="34.140625" style="20" customWidth="1"/>
    <col min="3843" max="3845" width="14.85546875" style="20" customWidth="1"/>
    <col min="3846" max="4096" width="9.140625" style="20"/>
    <col min="4097" max="4097" width="6.85546875" style="20" customWidth="1"/>
    <col min="4098" max="4098" width="34.140625" style="20" customWidth="1"/>
    <col min="4099" max="4101" width="14.85546875" style="20" customWidth="1"/>
    <col min="4102" max="4352" width="9.140625" style="20"/>
    <col min="4353" max="4353" width="6.85546875" style="20" customWidth="1"/>
    <col min="4354" max="4354" width="34.140625" style="20" customWidth="1"/>
    <col min="4355" max="4357" width="14.85546875" style="20" customWidth="1"/>
    <col min="4358" max="4608" width="9.140625" style="20"/>
    <col min="4609" max="4609" width="6.85546875" style="20" customWidth="1"/>
    <col min="4610" max="4610" width="34.140625" style="20" customWidth="1"/>
    <col min="4611" max="4613" width="14.85546875" style="20" customWidth="1"/>
    <col min="4614" max="4864" width="9.140625" style="20"/>
    <col min="4865" max="4865" width="6.85546875" style="20" customWidth="1"/>
    <col min="4866" max="4866" width="34.140625" style="20" customWidth="1"/>
    <col min="4867" max="4869" width="14.85546875" style="20" customWidth="1"/>
    <col min="4870" max="5120" width="9.140625" style="20"/>
    <col min="5121" max="5121" width="6.85546875" style="20" customWidth="1"/>
    <col min="5122" max="5122" width="34.140625" style="20" customWidth="1"/>
    <col min="5123" max="5125" width="14.85546875" style="20" customWidth="1"/>
    <col min="5126" max="5376" width="9.140625" style="20"/>
    <col min="5377" max="5377" width="6.85546875" style="20" customWidth="1"/>
    <col min="5378" max="5378" width="34.140625" style="20" customWidth="1"/>
    <col min="5379" max="5381" width="14.85546875" style="20" customWidth="1"/>
    <col min="5382" max="5632" width="9.140625" style="20"/>
    <col min="5633" max="5633" width="6.85546875" style="20" customWidth="1"/>
    <col min="5634" max="5634" width="34.140625" style="20" customWidth="1"/>
    <col min="5635" max="5637" width="14.85546875" style="20" customWidth="1"/>
    <col min="5638" max="5888" width="9.140625" style="20"/>
    <col min="5889" max="5889" width="6.85546875" style="20" customWidth="1"/>
    <col min="5890" max="5890" width="34.140625" style="20" customWidth="1"/>
    <col min="5891" max="5893" width="14.85546875" style="20" customWidth="1"/>
    <col min="5894" max="6144" width="9.140625" style="20"/>
    <col min="6145" max="6145" width="6.85546875" style="20" customWidth="1"/>
    <col min="6146" max="6146" width="34.140625" style="20" customWidth="1"/>
    <col min="6147" max="6149" width="14.85546875" style="20" customWidth="1"/>
    <col min="6150" max="6400" width="9.140625" style="20"/>
    <col min="6401" max="6401" width="6.85546875" style="20" customWidth="1"/>
    <col min="6402" max="6402" width="34.140625" style="20" customWidth="1"/>
    <col min="6403" max="6405" width="14.85546875" style="20" customWidth="1"/>
    <col min="6406" max="6656" width="9.140625" style="20"/>
    <col min="6657" max="6657" width="6.85546875" style="20" customWidth="1"/>
    <col min="6658" max="6658" width="34.140625" style="20" customWidth="1"/>
    <col min="6659" max="6661" width="14.85546875" style="20" customWidth="1"/>
    <col min="6662" max="6912" width="9.140625" style="20"/>
    <col min="6913" max="6913" width="6.85546875" style="20" customWidth="1"/>
    <col min="6914" max="6914" width="34.140625" style="20" customWidth="1"/>
    <col min="6915" max="6917" width="14.85546875" style="20" customWidth="1"/>
    <col min="6918" max="7168" width="9.140625" style="20"/>
    <col min="7169" max="7169" width="6.85546875" style="20" customWidth="1"/>
    <col min="7170" max="7170" width="34.140625" style="20" customWidth="1"/>
    <col min="7171" max="7173" width="14.85546875" style="20" customWidth="1"/>
    <col min="7174" max="7424" width="9.140625" style="20"/>
    <col min="7425" max="7425" width="6.85546875" style="20" customWidth="1"/>
    <col min="7426" max="7426" width="34.140625" style="20" customWidth="1"/>
    <col min="7427" max="7429" width="14.85546875" style="20" customWidth="1"/>
    <col min="7430" max="7680" width="9.140625" style="20"/>
    <col min="7681" max="7681" width="6.85546875" style="20" customWidth="1"/>
    <col min="7682" max="7682" width="34.140625" style="20" customWidth="1"/>
    <col min="7683" max="7685" width="14.85546875" style="20" customWidth="1"/>
    <col min="7686" max="7936" width="9.140625" style="20"/>
    <col min="7937" max="7937" width="6.85546875" style="20" customWidth="1"/>
    <col min="7938" max="7938" width="34.140625" style="20" customWidth="1"/>
    <col min="7939" max="7941" width="14.85546875" style="20" customWidth="1"/>
    <col min="7942" max="8192" width="9.140625" style="20"/>
    <col min="8193" max="8193" width="6.85546875" style="20" customWidth="1"/>
    <col min="8194" max="8194" width="34.140625" style="20" customWidth="1"/>
    <col min="8195" max="8197" width="14.85546875" style="20" customWidth="1"/>
    <col min="8198" max="8448" width="9.140625" style="20"/>
    <col min="8449" max="8449" width="6.85546875" style="20" customWidth="1"/>
    <col min="8450" max="8450" width="34.140625" style="20" customWidth="1"/>
    <col min="8451" max="8453" width="14.85546875" style="20" customWidth="1"/>
    <col min="8454" max="8704" width="9.140625" style="20"/>
    <col min="8705" max="8705" width="6.85546875" style="20" customWidth="1"/>
    <col min="8706" max="8706" width="34.140625" style="20" customWidth="1"/>
    <col min="8707" max="8709" width="14.85546875" style="20" customWidth="1"/>
    <col min="8710" max="8960" width="9.140625" style="20"/>
    <col min="8961" max="8961" width="6.85546875" style="20" customWidth="1"/>
    <col min="8962" max="8962" width="34.140625" style="20" customWidth="1"/>
    <col min="8963" max="8965" width="14.85546875" style="20" customWidth="1"/>
    <col min="8966" max="9216" width="9.140625" style="20"/>
    <col min="9217" max="9217" width="6.85546875" style="20" customWidth="1"/>
    <col min="9218" max="9218" width="34.140625" style="20" customWidth="1"/>
    <col min="9219" max="9221" width="14.85546875" style="20" customWidth="1"/>
    <col min="9222" max="9472" width="9.140625" style="20"/>
    <col min="9473" max="9473" width="6.85546875" style="20" customWidth="1"/>
    <col min="9474" max="9474" width="34.140625" style="20" customWidth="1"/>
    <col min="9475" max="9477" width="14.85546875" style="20" customWidth="1"/>
    <col min="9478" max="9728" width="9.140625" style="20"/>
    <col min="9729" max="9729" width="6.85546875" style="20" customWidth="1"/>
    <col min="9730" max="9730" width="34.140625" style="20" customWidth="1"/>
    <col min="9731" max="9733" width="14.85546875" style="20" customWidth="1"/>
    <col min="9734" max="9984" width="9.140625" style="20"/>
    <col min="9985" max="9985" width="6.85546875" style="20" customWidth="1"/>
    <col min="9986" max="9986" width="34.140625" style="20" customWidth="1"/>
    <col min="9987" max="9989" width="14.85546875" style="20" customWidth="1"/>
    <col min="9990" max="10240" width="9.140625" style="20"/>
    <col min="10241" max="10241" width="6.85546875" style="20" customWidth="1"/>
    <col min="10242" max="10242" width="34.140625" style="20" customWidth="1"/>
    <col min="10243" max="10245" width="14.85546875" style="20" customWidth="1"/>
    <col min="10246" max="10496" width="9.140625" style="20"/>
    <col min="10497" max="10497" width="6.85546875" style="20" customWidth="1"/>
    <col min="10498" max="10498" width="34.140625" style="20" customWidth="1"/>
    <col min="10499" max="10501" width="14.85546875" style="20" customWidth="1"/>
    <col min="10502" max="10752" width="9.140625" style="20"/>
    <col min="10753" max="10753" width="6.85546875" style="20" customWidth="1"/>
    <col min="10754" max="10754" width="34.140625" style="20" customWidth="1"/>
    <col min="10755" max="10757" width="14.85546875" style="20" customWidth="1"/>
    <col min="10758" max="11008" width="9.140625" style="20"/>
    <col min="11009" max="11009" width="6.85546875" style="20" customWidth="1"/>
    <col min="11010" max="11010" width="34.140625" style="20" customWidth="1"/>
    <col min="11011" max="11013" width="14.85546875" style="20" customWidth="1"/>
    <col min="11014" max="11264" width="9.140625" style="20"/>
    <col min="11265" max="11265" width="6.85546875" style="20" customWidth="1"/>
    <col min="11266" max="11266" width="34.140625" style="20" customWidth="1"/>
    <col min="11267" max="11269" width="14.85546875" style="20" customWidth="1"/>
    <col min="11270" max="11520" width="9.140625" style="20"/>
    <col min="11521" max="11521" width="6.85546875" style="20" customWidth="1"/>
    <col min="11522" max="11522" width="34.140625" style="20" customWidth="1"/>
    <col min="11523" max="11525" width="14.85546875" style="20" customWidth="1"/>
    <col min="11526" max="11776" width="9.140625" style="20"/>
    <col min="11777" max="11777" width="6.85546875" style="20" customWidth="1"/>
    <col min="11778" max="11778" width="34.140625" style="20" customWidth="1"/>
    <col min="11779" max="11781" width="14.85546875" style="20" customWidth="1"/>
    <col min="11782" max="12032" width="9.140625" style="20"/>
    <col min="12033" max="12033" width="6.85546875" style="20" customWidth="1"/>
    <col min="12034" max="12034" width="34.140625" style="20" customWidth="1"/>
    <col min="12035" max="12037" width="14.85546875" style="20" customWidth="1"/>
    <col min="12038" max="12288" width="9.140625" style="20"/>
    <col min="12289" max="12289" width="6.85546875" style="20" customWidth="1"/>
    <col min="12290" max="12290" width="34.140625" style="20" customWidth="1"/>
    <col min="12291" max="12293" width="14.85546875" style="20" customWidth="1"/>
    <col min="12294" max="12544" width="9.140625" style="20"/>
    <col min="12545" max="12545" width="6.85546875" style="20" customWidth="1"/>
    <col min="12546" max="12546" width="34.140625" style="20" customWidth="1"/>
    <col min="12547" max="12549" width="14.85546875" style="20" customWidth="1"/>
    <col min="12550" max="12800" width="9.140625" style="20"/>
    <col min="12801" max="12801" width="6.85546875" style="20" customWidth="1"/>
    <col min="12802" max="12802" width="34.140625" style="20" customWidth="1"/>
    <col min="12803" max="12805" width="14.85546875" style="20" customWidth="1"/>
    <col min="12806" max="13056" width="9.140625" style="20"/>
    <col min="13057" max="13057" width="6.85546875" style="20" customWidth="1"/>
    <col min="13058" max="13058" width="34.140625" style="20" customWidth="1"/>
    <col min="13059" max="13061" width="14.85546875" style="20" customWidth="1"/>
    <col min="13062" max="13312" width="9.140625" style="20"/>
    <col min="13313" max="13313" width="6.85546875" style="20" customWidth="1"/>
    <col min="13314" max="13314" width="34.140625" style="20" customWidth="1"/>
    <col min="13315" max="13317" width="14.85546875" style="20" customWidth="1"/>
    <col min="13318" max="13568" width="9.140625" style="20"/>
    <col min="13569" max="13569" width="6.85546875" style="20" customWidth="1"/>
    <col min="13570" max="13570" width="34.140625" style="20" customWidth="1"/>
    <col min="13571" max="13573" width="14.85546875" style="20" customWidth="1"/>
    <col min="13574" max="13824" width="9.140625" style="20"/>
    <col min="13825" max="13825" width="6.85546875" style="20" customWidth="1"/>
    <col min="13826" max="13826" width="34.140625" style="20" customWidth="1"/>
    <col min="13827" max="13829" width="14.85546875" style="20" customWidth="1"/>
    <col min="13830" max="14080" width="9.140625" style="20"/>
    <col min="14081" max="14081" width="6.85546875" style="20" customWidth="1"/>
    <col min="14082" max="14082" width="34.140625" style="20" customWidth="1"/>
    <col min="14083" max="14085" width="14.85546875" style="20" customWidth="1"/>
    <col min="14086" max="14336" width="9.140625" style="20"/>
    <col min="14337" max="14337" width="6.85546875" style="20" customWidth="1"/>
    <col min="14338" max="14338" width="34.140625" style="20" customWidth="1"/>
    <col min="14339" max="14341" width="14.85546875" style="20" customWidth="1"/>
    <col min="14342" max="14592" width="9.140625" style="20"/>
    <col min="14593" max="14593" width="6.85546875" style="20" customWidth="1"/>
    <col min="14594" max="14594" width="34.140625" style="20" customWidth="1"/>
    <col min="14595" max="14597" width="14.85546875" style="20" customWidth="1"/>
    <col min="14598" max="14848" width="9.140625" style="20"/>
    <col min="14849" max="14849" width="6.85546875" style="20" customWidth="1"/>
    <col min="14850" max="14850" width="34.140625" style="20" customWidth="1"/>
    <col min="14851" max="14853" width="14.85546875" style="20" customWidth="1"/>
    <col min="14854" max="15104" width="9.140625" style="20"/>
    <col min="15105" max="15105" width="6.85546875" style="20" customWidth="1"/>
    <col min="15106" max="15106" width="34.140625" style="20" customWidth="1"/>
    <col min="15107" max="15109" width="14.85546875" style="20" customWidth="1"/>
    <col min="15110" max="15360" width="9.140625" style="20"/>
    <col min="15361" max="15361" width="6.85546875" style="20" customWidth="1"/>
    <col min="15362" max="15362" width="34.140625" style="20" customWidth="1"/>
    <col min="15363" max="15365" width="14.85546875" style="20" customWidth="1"/>
    <col min="15366" max="15616" width="9.140625" style="20"/>
    <col min="15617" max="15617" width="6.85546875" style="20" customWidth="1"/>
    <col min="15618" max="15618" width="34.140625" style="20" customWidth="1"/>
    <col min="15619" max="15621" width="14.85546875" style="20" customWidth="1"/>
    <col min="15622" max="15872" width="9.140625" style="20"/>
    <col min="15873" max="15873" width="6.85546875" style="20" customWidth="1"/>
    <col min="15874" max="15874" width="34.140625" style="20" customWidth="1"/>
    <col min="15875" max="15877" width="14.85546875" style="20" customWidth="1"/>
    <col min="15878" max="16128" width="9.140625" style="20"/>
    <col min="16129" max="16129" width="6.85546875" style="20" customWidth="1"/>
    <col min="16130" max="16130" width="34.140625" style="20" customWidth="1"/>
    <col min="16131" max="16133" width="14.85546875" style="20" customWidth="1"/>
    <col min="16134" max="16384" width="9.140625" style="20"/>
  </cols>
  <sheetData>
    <row r="1" spans="1:5" x14ac:dyDescent="0.25">
      <c r="B1" s="21"/>
      <c r="C1" s="21"/>
      <c r="D1" s="2"/>
      <c r="E1" s="39" t="s">
        <v>618</v>
      </c>
    </row>
    <row r="2" spans="1:5" x14ac:dyDescent="0.25">
      <c r="B2" s="21"/>
      <c r="C2" s="21"/>
      <c r="D2" s="2"/>
      <c r="E2" s="2" t="s">
        <v>127</v>
      </c>
    </row>
    <row r="3" spans="1:5" x14ac:dyDescent="0.25">
      <c r="B3" s="489" t="s">
        <v>276</v>
      </c>
      <c r="C3" s="489"/>
      <c r="D3" s="489"/>
      <c r="E3" s="489"/>
    </row>
    <row r="4" spans="1:5" x14ac:dyDescent="0.25">
      <c r="B4" s="21"/>
      <c r="C4" s="21"/>
      <c r="D4" s="2"/>
      <c r="E4" s="2" t="s">
        <v>168</v>
      </c>
    </row>
    <row r="5" spans="1:5" x14ac:dyDescent="0.25">
      <c r="B5" s="21"/>
      <c r="C5" s="21"/>
      <c r="D5" s="2"/>
      <c r="E5" s="53" t="s">
        <v>533</v>
      </c>
    </row>
    <row r="6" spans="1:5" ht="14.25" customHeight="1" x14ac:dyDescent="0.25">
      <c r="C6" s="2"/>
    </row>
    <row r="7" spans="1:5" ht="14.25" customHeight="1" x14ac:dyDescent="0.25">
      <c r="B7" s="532" t="s">
        <v>149</v>
      </c>
      <c r="C7" s="532"/>
      <c r="D7" s="532"/>
      <c r="E7" s="532"/>
    </row>
    <row r="8" spans="1:5" ht="30.75" customHeight="1" x14ac:dyDescent="0.25">
      <c r="A8" s="26"/>
      <c r="B8" s="487" t="s">
        <v>609</v>
      </c>
      <c r="C8" s="487"/>
      <c r="D8" s="487"/>
      <c r="E8" s="487"/>
    </row>
    <row r="9" spans="1:5" ht="14.25" customHeight="1" x14ac:dyDescent="0.25">
      <c r="C9" s="2"/>
    </row>
    <row r="10" spans="1:5" ht="18.75" customHeight="1" x14ac:dyDescent="0.25">
      <c r="C10" s="22"/>
      <c r="D10" s="22"/>
      <c r="E10" s="23" t="s">
        <v>114</v>
      </c>
    </row>
    <row r="11" spans="1:5" ht="22.5" customHeight="1" x14ac:dyDescent="0.25">
      <c r="A11" s="24" t="s">
        <v>274</v>
      </c>
      <c r="B11" s="24" t="s">
        <v>277</v>
      </c>
      <c r="C11" s="24" t="s">
        <v>166</v>
      </c>
      <c r="D11" s="94" t="s">
        <v>603</v>
      </c>
      <c r="E11" s="94" t="s">
        <v>593</v>
      </c>
    </row>
    <row r="12" spans="1:5" ht="24" customHeight="1" x14ac:dyDescent="0.25">
      <c r="A12" s="27" t="s">
        <v>275</v>
      </c>
      <c r="B12" s="28" t="s">
        <v>278</v>
      </c>
      <c r="C12" s="29">
        <v>3169.9225999999999</v>
      </c>
      <c r="D12" s="211">
        <v>832.91584000000012</v>
      </c>
      <c r="E12" s="206">
        <f>D12/C12*100</f>
        <v>26.275589189464753</v>
      </c>
    </row>
    <row r="13" spans="1:5" s="16" customFormat="1" ht="16.5" customHeight="1" x14ac:dyDescent="0.25">
      <c r="A13" s="30" t="s">
        <v>128</v>
      </c>
      <c r="B13" s="31" t="s">
        <v>279</v>
      </c>
      <c r="C13" s="29">
        <v>3192.8226</v>
      </c>
      <c r="D13" s="211">
        <v>886.22164000000009</v>
      </c>
      <c r="E13" s="206">
        <f t="shared" ref="E13:E17" si="0">D13/C13*100</f>
        <v>27.756682754625956</v>
      </c>
    </row>
    <row r="14" spans="1:5" s="16" customFormat="1" ht="27.75" customHeight="1" x14ac:dyDescent="0.25">
      <c r="A14" s="30" t="s">
        <v>280</v>
      </c>
      <c r="B14" s="32" t="s">
        <v>281</v>
      </c>
      <c r="C14" s="29">
        <v>3142.8226</v>
      </c>
      <c r="D14" s="211">
        <v>950.23812999999996</v>
      </c>
      <c r="E14" s="206">
        <f t="shared" si="0"/>
        <v>30.235181903044733</v>
      </c>
    </row>
    <row r="15" spans="1:5" s="16" customFormat="1" x14ac:dyDescent="0.25">
      <c r="A15" s="30" t="s">
        <v>282</v>
      </c>
      <c r="B15" s="32" t="s">
        <v>283</v>
      </c>
      <c r="C15" s="29">
        <v>2822.9513000000002</v>
      </c>
      <c r="D15" s="211">
        <v>748.72155000000009</v>
      </c>
      <c r="E15" s="206">
        <f t="shared" si="0"/>
        <v>26.522652020245623</v>
      </c>
    </row>
    <row r="16" spans="1:5" ht="18.75" customHeight="1" x14ac:dyDescent="0.25">
      <c r="A16" s="30" t="s">
        <v>284</v>
      </c>
      <c r="B16" s="32" t="s">
        <v>285</v>
      </c>
      <c r="C16" s="33">
        <v>2516.4513000000002</v>
      </c>
      <c r="D16" s="211">
        <v>751.98469</v>
      </c>
      <c r="E16" s="206">
        <f t="shared" si="0"/>
        <v>29.88274360803247</v>
      </c>
    </row>
    <row r="17" spans="1:5" s="37" customFormat="1" ht="18.75" customHeight="1" x14ac:dyDescent="0.25">
      <c r="A17" s="34"/>
      <c r="B17" s="35" t="s">
        <v>286</v>
      </c>
      <c r="C17" s="36">
        <f>SUM(C12:C16)</f>
        <v>14844.9704</v>
      </c>
      <c r="D17" s="36">
        <f>SUM(D12:D16)</f>
        <v>4170.0818500000005</v>
      </c>
      <c r="E17" s="207">
        <f t="shared" si="0"/>
        <v>28.090873458393695</v>
      </c>
    </row>
    <row r="20" spans="1:5" x14ac:dyDescent="0.25">
      <c r="C20" s="25"/>
      <c r="D20" s="25">
        <f>'11'!AG642</f>
        <v>4170.0818499999996</v>
      </c>
      <c r="E20" s="25"/>
    </row>
    <row r="21" spans="1:5" x14ac:dyDescent="0.25">
      <c r="D21" s="209">
        <f>D17-D20</f>
        <v>0</v>
      </c>
    </row>
  </sheetData>
  <mergeCells count="3">
    <mergeCell ref="B3:E3"/>
    <mergeCell ref="B7:E7"/>
    <mergeCell ref="B8:E8"/>
  </mergeCells>
  <printOptions horizontalCentered="1"/>
  <pageMargins left="0.59" right="0.15748031496062992" top="0.98425196850393704" bottom="0.98425196850393704" header="0.51181102362204722" footer="0.51181102362204722"/>
  <pageSetup paperSize="9" scale="92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1:E20"/>
  <sheetViews>
    <sheetView view="pageBreakPreview" workbookViewId="0">
      <selection activeCell="E2" sqref="E2"/>
    </sheetView>
  </sheetViews>
  <sheetFormatPr defaultRowHeight="15.75" x14ac:dyDescent="0.25"/>
  <cols>
    <col min="1" max="1" width="6.85546875" style="20" customWidth="1"/>
    <col min="2" max="2" width="34.140625" style="20" customWidth="1"/>
    <col min="3" max="5" width="14.85546875" style="20" customWidth="1"/>
    <col min="6" max="256" width="9.140625" style="20"/>
    <col min="257" max="257" width="6.85546875" style="20" customWidth="1"/>
    <col min="258" max="258" width="34.140625" style="20" customWidth="1"/>
    <col min="259" max="261" width="14.85546875" style="20" customWidth="1"/>
    <col min="262" max="512" width="9.140625" style="20"/>
    <col min="513" max="513" width="6.85546875" style="20" customWidth="1"/>
    <col min="514" max="514" width="34.140625" style="20" customWidth="1"/>
    <col min="515" max="517" width="14.85546875" style="20" customWidth="1"/>
    <col min="518" max="768" width="9.140625" style="20"/>
    <col min="769" max="769" width="6.85546875" style="20" customWidth="1"/>
    <col min="770" max="770" width="34.140625" style="20" customWidth="1"/>
    <col min="771" max="773" width="14.85546875" style="20" customWidth="1"/>
    <col min="774" max="1024" width="9.140625" style="20"/>
    <col min="1025" max="1025" width="6.85546875" style="20" customWidth="1"/>
    <col min="1026" max="1026" width="34.140625" style="20" customWidth="1"/>
    <col min="1027" max="1029" width="14.85546875" style="20" customWidth="1"/>
    <col min="1030" max="1280" width="9.140625" style="20"/>
    <col min="1281" max="1281" width="6.85546875" style="20" customWidth="1"/>
    <col min="1282" max="1282" width="34.140625" style="20" customWidth="1"/>
    <col min="1283" max="1285" width="14.85546875" style="20" customWidth="1"/>
    <col min="1286" max="1536" width="9.140625" style="20"/>
    <col min="1537" max="1537" width="6.85546875" style="20" customWidth="1"/>
    <col min="1538" max="1538" width="34.140625" style="20" customWidth="1"/>
    <col min="1539" max="1541" width="14.85546875" style="20" customWidth="1"/>
    <col min="1542" max="1792" width="9.140625" style="20"/>
    <col min="1793" max="1793" width="6.85546875" style="20" customWidth="1"/>
    <col min="1794" max="1794" width="34.140625" style="20" customWidth="1"/>
    <col min="1795" max="1797" width="14.85546875" style="20" customWidth="1"/>
    <col min="1798" max="2048" width="9.140625" style="20"/>
    <col min="2049" max="2049" width="6.85546875" style="20" customWidth="1"/>
    <col min="2050" max="2050" width="34.140625" style="20" customWidth="1"/>
    <col min="2051" max="2053" width="14.85546875" style="20" customWidth="1"/>
    <col min="2054" max="2304" width="9.140625" style="20"/>
    <col min="2305" max="2305" width="6.85546875" style="20" customWidth="1"/>
    <col min="2306" max="2306" width="34.140625" style="20" customWidth="1"/>
    <col min="2307" max="2309" width="14.85546875" style="20" customWidth="1"/>
    <col min="2310" max="2560" width="9.140625" style="20"/>
    <col min="2561" max="2561" width="6.85546875" style="20" customWidth="1"/>
    <col min="2562" max="2562" width="34.140625" style="20" customWidth="1"/>
    <col min="2563" max="2565" width="14.85546875" style="20" customWidth="1"/>
    <col min="2566" max="2816" width="9.140625" style="20"/>
    <col min="2817" max="2817" width="6.85546875" style="20" customWidth="1"/>
    <col min="2818" max="2818" width="34.140625" style="20" customWidth="1"/>
    <col min="2819" max="2821" width="14.85546875" style="20" customWidth="1"/>
    <col min="2822" max="3072" width="9.140625" style="20"/>
    <col min="3073" max="3073" width="6.85546875" style="20" customWidth="1"/>
    <col min="3074" max="3074" width="34.140625" style="20" customWidth="1"/>
    <col min="3075" max="3077" width="14.85546875" style="20" customWidth="1"/>
    <col min="3078" max="3328" width="9.140625" style="20"/>
    <col min="3329" max="3329" width="6.85546875" style="20" customWidth="1"/>
    <col min="3330" max="3330" width="34.140625" style="20" customWidth="1"/>
    <col min="3331" max="3333" width="14.85546875" style="20" customWidth="1"/>
    <col min="3334" max="3584" width="9.140625" style="20"/>
    <col min="3585" max="3585" width="6.85546875" style="20" customWidth="1"/>
    <col min="3586" max="3586" width="34.140625" style="20" customWidth="1"/>
    <col min="3587" max="3589" width="14.85546875" style="20" customWidth="1"/>
    <col min="3590" max="3840" width="9.140625" style="20"/>
    <col min="3841" max="3841" width="6.85546875" style="20" customWidth="1"/>
    <col min="3842" max="3842" width="34.140625" style="20" customWidth="1"/>
    <col min="3843" max="3845" width="14.85546875" style="20" customWidth="1"/>
    <col min="3846" max="4096" width="9.140625" style="20"/>
    <col min="4097" max="4097" width="6.85546875" style="20" customWidth="1"/>
    <col min="4098" max="4098" width="34.140625" style="20" customWidth="1"/>
    <col min="4099" max="4101" width="14.85546875" style="20" customWidth="1"/>
    <col min="4102" max="4352" width="9.140625" style="20"/>
    <col min="4353" max="4353" width="6.85546875" style="20" customWidth="1"/>
    <col min="4354" max="4354" width="34.140625" style="20" customWidth="1"/>
    <col min="4355" max="4357" width="14.85546875" style="20" customWidth="1"/>
    <col min="4358" max="4608" width="9.140625" style="20"/>
    <col min="4609" max="4609" width="6.85546875" style="20" customWidth="1"/>
    <col min="4610" max="4610" width="34.140625" style="20" customWidth="1"/>
    <col min="4611" max="4613" width="14.85546875" style="20" customWidth="1"/>
    <col min="4614" max="4864" width="9.140625" style="20"/>
    <col min="4865" max="4865" width="6.85546875" style="20" customWidth="1"/>
    <col min="4866" max="4866" width="34.140625" style="20" customWidth="1"/>
    <col min="4867" max="4869" width="14.85546875" style="20" customWidth="1"/>
    <col min="4870" max="5120" width="9.140625" style="20"/>
    <col min="5121" max="5121" width="6.85546875" style="20" customWidth="1"/>
    <col min="5122" max="5122" width="34.140625" style="20" customWidth="1"/>
    <col min="5123" max="5125" width="14.85546875" style="20" customWidth="1"/>
    <col min="5126" max="5376" width="9.140625" style="20"/>
    <col min="5377" max="5377" width="6.85546875" style="20" customWidth="1"/>
    <col min="5378" max="5378" width="34.140625" style="20" customWidth="1"/>
    <col min="5379" max="5381" width="14.85546875" style="20" customWidth="1"/>
    <col min="5382" max="5632" width="9.140625" style="20"/>
    <col min="5633" max="5633" width="6.85546875" style="20" customWidth="1"/>
    <col min="5634" max="5634" width="34.140625" style="20" customWidth="1"/>
    <col min="5635" max="5637" width="14.85546875" style="20" customWidth="1"/>
    <col min="5638" max="5888" width="9.140625" style="20"/>
    <col min="5889" max="5889" width="6.85546875" style="20" customWidth="1"/>
    <col min="5890" max="5890" width="34.140625" style="20" customWidth="1"/>
    <col min="5891" max="5893" width="14.85546875" style="20" customWidth="1"/>
    <col min="5894" max="6144" width="9.140625" style="20"/>
    <col min="6145" max="6145" width="6.85546875" style="20" customWidth="1"/>
    <col min="6146" max="6146" width="34.140625" style="20" customWidth="1"/>
    <col min="6147" max="6149" width="14.85546875" style="20" customWidth="1"/>
    <col min="6150" max="6400" width="9.140625" style="20"/>
    <col min="6401" max="6401" width="6.85546875" style="20" customWidth="1"/>
    <col min="6402" max="6402" width="34.140625" style="20" customWidth="1"/>
    <col min="6403" max="6405" width="14.85546875" style="20" customWidth="1"/>
    <col min="6406" max="6656" width="9.140625" style="20"/>
    <col min="6657" max="6657" width="6.85546875" style="20" customWidth="1"/>
    <col min="6658" max="6658" width="34.140625" style="20" customWidth="1"/>
    <col min="6659" max="6661" width="14.85546875" style="20" customWidth="1"/>
    <col min="6662" max="6912" width="9.140625" style="20"/>
    <col min="6913" max="6913" width="6.85546875" style="20" customWidth="1"/>
    <col min="6914" max="6914" width="34.140625" style="20" customWidth="1"/>
    <col min="6915" max="6917" width="14.85546875" style="20" customWidth="1"/>
    <col min="6918" max="7168" width="9.140625" style="20"/>
    <col min="7169" max="7169" width="6.85546875" style="20" customWidth="1"/>
    <col min="7170" max="7170" width="34.140625" style="20" customWidth="1"/>
    <col min="7171" max="7173" width="14.85546875" style="20" customWidth="1"/>
    <col min="7174" max="7424" width="9.140625" style="20"/>
    <col min="7425" max="7425" width="6.85546875" style="20" customWidth="1"/>
    <col min="7426" max="7426" width="34.140625" style="20" customWidth="1"/>
    <col min="7427" max="7429" width="14.85546875" style="20" customWidth="1"/>
    <col min="7430" max="7680" width="9.140625" style="20"/>
    <col min="7681" max="7681" width="6.85546875" style="20" customWidth="1"/>
    <col min="7682" max="7682" width="34.140625" style="20" customWidth="1"/>
    <col min="7683" max="7685" width="14.85546875" style="20" customWidth="1"/>
    <col min="7686" max="7936" width="9.140625" style="20"/>
    <col min="7937" max="7937" width="6.85546875" style="20" customWidth="1"/>
    <col min="7938" max="7938" width="34.140625" style="20" customWidth="1"/>
    <col min="7939" max="7941" width="14.85546875" style="20" customWidth="1"/>
    <col min="7942" max="8192" width="9.140625" style="20"/>
    <col min="8193" max="8193" width="6.85546875" style="20" customWidth="1"/>
    <col min="8194" max="8194" width="34.140625" style="20" customWidth="1"/>
    <col min="8195" max="8197" width="14.85546875" style="20" customWidth="1"/>
    <col min="8198" max="8448" width="9.140625" style="20"/>
    <col min="8449" max="8449" width="6.85546875" style="20" customWidth="1"/>
    <col min="8450" max="8450" width="34.140625" style="20" customWidth="1"/>
    <col min="8451" max="8453" width="14.85546875" style="20" customWidth="1"/>
    <col min="8454" max="8704" width="9.140625" style="20"/>
    <col min="8705" max="8705" width="6.85546875" style="20" customWidth="1"/>
    <col min="8706" max="8706" width="34.140625" style="20" customWidth="1"/>
    <col min="8707" max="8709" width="14.85546875" style="20" customWidth="1"/>
    <col min="8710" max="8960" width="9.140625" style="20"/>
    <col min="8961" max="8961" width="6.85546875" style="20" customWidth="1"/>
    <col min="8962" max="8962" width="34.140625" style="20" customWidth="1"/>
    <col min="8963" max="8965" width="14.85546875" style="20" customWidth="1"/>
    <col min="8966" max="9216" width="9.140625" style="20"/>
    <col min="9217" max="9217" width="6.85546875" style="20" customWidth="1"/>
    <col min="9218" max="9218" width="34.140625" style="20" customWidth="1"/>
    <col min="9219" max="9221" width="14.85546875" style="20" customWidth="1"/>
    <col min="9222" max="9472" width="9.140625" style="20"/>
    <col min="9473" max="9473" width="6.85546875" style="20" customWidth="1"/>
    <col min="9474" max="9474" width="34.140625" style="20" customWidth="1"/>
    <col min="9475" max="9477" width="14.85546875" style="20" customWidth="1"/>
    <col min="9478" max="9728" width="9.140625" style="20"/>
    <col min="9729" max="9729" width="6.85546875" style="20" customWidth="1"/>
    <col min="9730" max="9730" width="34.140625" style="20" customWidth="1"/>
    <col min="9731" max="9733" width="14.85546875" style="20" customWidth="1"/>
    <col min="9734" max="9984" width="9.140625" style="20"/>
    <col min="9985" max="9985" width="6.85546875" style="20" customWidth="1"/>
    <col min="9986" max="9986" width="34.140625" style="20" customWidth="1"/>
    <col min="9987" max="9989" width="14.85546875" style="20" customWidth="1"/>
    <col min="9990" max="10240" width="9.140625" style="20"/>
    <col min="10241" max="10241" width="6.85546875" style="20" customWidth="1"/>
    <col min="10242" max="10242" width="34.140625" style="20" customWidth="1"/>
    <col min="10243" max="10245" width="14.85546875" style="20" customWidth="1"/>
    <col min="10246" max="10496" width="9.140625" style="20"/>
    <col min="10497" max="10497" width="6.85546875" style="20" customWidth="1"/>
    <col min="10498" max="10498" width="34.140625" style="20" customWidth="1"/>
    <col min="10499" max="10501" width="14.85546875" style="20" customWidth="1"/>
    <col min="10502" max="10752" width="9.140625" style="20"/>
    <col min="10753" max="10753" width="6.85546875" style="20" customWidth="1"/>
    <col min="10754" max="10754" width="34.140625" style="20" customWidth="1"/>
    <col min="10755" max="10757" width="14.85546875" style="20" customWidth="1"/>
    <col min="10758" max="11008" width="9.140625" style="20"/>
    <col min="11009" max="11009" width="6.85546875" style="20" customWidth="1"/>
    <col min="11010" max="11010" width="34.140625" style="20" customWidth="1"/>
    <col min="11011" max="11013" width="14.85546875" style="20" customWidth="1"/>
    <col min="11014" max="11264" width="9.140625" style="20"/>
    <col min="11265" max="11265" width="6.85546875" style="20" customWidth="1"/>
    <col min="11266" max="11266" width="34.140625" style="20" customWidth="1"/>
    <col min="11267" max="11269" width="14.85546875" style="20" customWidth="1"/>
    <col min="11270" max="11520" width="9.140625" style="20"/>
    <col min="11521" max="11521" width="6.85546875" style="20" customWidth="1"/>
    <col min="11522" max="11522" width="34.140625" style="20" customWidth="1"/>
    <col min="11523" max="11525" width="14.85546875" style="20" customWidth="1"/>
    <col min="11526" max="11776" width="9.140625" style="20"/>
    <col min="11777" max="11777" width="6.85546875" style="20" customWidth="1"/>
    <col min="11778" max="11778" width="34.140625" style="20" customWidth="1"/>
    <col min="11779" max="11781" width="14.85546875" style="20" customWidth="1"/>
    <col min="11782" max="12032" width="9.140625" style="20"/>
    <col min="12033" max="12033" width="6.85546875" style="20" customWidth="1"/>
    <col min="12034" max="12034" width="34.140625" style="20" customWidth="1"/>
    <col min="12035" max="12037" width="14.85546875" style="20" customWidth="1"/>
    <col min="12038" max="12288" width="9.140625" style="20"/>
    <col min="12289" max="12289" width="6.85546875" style="20" customWidth="1"/>
    <col min="12290" max="12290" width="34.140625" style="20" customWidth="1"/>
    <col min="12291" max="12293" width="14.85546875" style="20" customWidth="1"/>
    <col min="12294" max="12544" width="9.140625" style="20"/>
    <col min="12545" max="12545" width="6.85546875" style="20" customWidth="1"/>
    <col min="12546" max="12546" width="34.140625" style="20" customWidth="1"/>
    <col min="12547" max="12549" width="14.85546875" style="20" customWidth="1"/>
    <col min="12550" max="12800" width="9.140625" style="20"/>
    <col min="12801" max="12801" width="6.85546875" style="20" customWidth="1"/>
    <col min="12802" max="12802" width="34.140625" style="20" customWidth="1"/>
    <col min="12803" max="12805" width="14.85546875" style="20" customWidth="1"/>
    <col min="12806" max="13056" width="9.140625" style="20"/>
    <col min="13057" max="13057" width="6.85546875" style="20" customWidth="1"/>
    <col min="13058" max="13058" width="34.140625" style="20" customWidth="1"/>
    <col min="13059" max="13061" width="14.85546875" style="20" customWidth="1"/>
    <col min="13062" max="13312" width="9.140625" style="20"/>
    <col min="13313" max="13313" width="6.85546875" style="20" customWidth="1"/>
    <col min="13314" max="13314" width="34.140625" style="20" customWidth="1"/>
    <col min="13315" max="13317" width="14.85546875" style="20" customWidth="1"/>
    <col min="13318" max="13568" width="9.140625" style="20"/>
    <col min="13569" max="13569" width="6.85546875" style="20" customWidth="1"/>
    <col min="13570" max="13570" width="34.140625" style="20" customWidth="1"/>
    <col min="13571" max="13573" width="14.85546875" style="20" customWidth="1"/>
    <col min="13574" max="13824" width="9.140625" style="20"/>
    <col min="13825" max="13825" width="6.85546875" style="20" customWidth="1"/>
    <col min="13826" max="13826" width="34.140625" style="20" customWidth="1"/>
    <col min="13827" max="13829" width="14.85546875" style="20" customWidth="1"/>
    <col min="13830" max="14080" width="9.140625" style="20"/>
    <col min="14081" max="14081" width="6.85546875" style="20" customWidth="1"/>
    <col min="14082" max="14082" width="34.140625" style="20" customWidth="1"/>
    <col min="14083" max="14085" width="14.85546875" style="20" customWidth="1"/>
    <col min="14086" max="14336" width="9.140625" style="20"/>
    <col min="14337" max="14337" width="6.85546875" style="20" customWidth="1"/>
    <col min="14338" max="14338" width="34.140625" style="20" customWidth="1"/>
    <col min="14339" max="14341" width="14.85546875" style="20" customWidth="1"/>
    <col min="14342" max="14592" width="9.140625" style="20"/>
    <col min="14593" max="14593" width="6.85546875" style="20" customWidth="1"/>
    <col min="14594" max="14594" width="34.140625" style="20" customWidth="1"/>
    <col min="14595" max="14597" width="14.85546875" style="20" customWidth="1"/>
    <col min="14598" max="14848" width="9.140625" style="20"/>
    <col min="14849" max="14849" width="6.85546875" style="20" customWidth="1"/>
    <col min="14850" max="14850" width="34.140625" style="20" customWidth="1"/>
    <col min="14851" max="14853" width="14.85546875" style="20" customWidth="1"/>
    <col min="14854" max="15104" width="9.140625" style="20"/>
    <col min="15105" max="15105" width="6.85546875" style="20" customWidth="1"/>
    <col min="15106" max="15106" width="34.140625" style="20" customWidth="1"/>
    <col min="15107" max="15109" width="14.85546875" style="20" customWidth="1"/>
    <col min="15110" max="15360" width="9.140625" style="20"/>
    <col min="15361" max="15361" width="6.85546875" style="20" customWidth="1"/>
    <col min="15362" max="15362" width="34.140625" style="20" customWidth="1"/>
    <col min="15363" max="15365" width="14.85546875" style="20" customWidth="1"/>
    <col min="15366" max="15616" width="9.140625" style="20"/>
    <col min="15617" max="15617" width="6.85546875" style="20" customWidth="1"/>
    <col min="15618" max="15618" width="34.140625" style="20" customWidth="1"/>
    <col min="15619" max="15621" width="14.85546875" style="20" customWidth="1"/>
    <col min="15622" max="15872" width="9.140625" style="20"/>
    <col min="15873" max="15873" width="6.85546875" style="20" customWidth="1"/>
    <col min="15874" max="15874" width="34.140625" style="20" customWidth="1"/>
    <col min="15875" max="15877" width="14.85546875" style="20" customWidth="1"/>
    <col min="15878" max="16128" width="9.140625" style="20"/>
    <col min="16129" max="16129" width="6.85546875" style="20" customWidth="1"/>
    <col min="16130" max="16130" width="34.140625" style="20" customWidth="1"/>
    <col min="16131" max="16133" width="14.85546875" style="20" customWidth="1"/>
    <col min="16134" max="16384" width="9.140625" style="20"/>
  </cols>
  <sheetData>
    <row r="1" spans="1:5" x14ac:dyDescent="0.25">
      <c r="B1" s="21"/>
      <c r="C1" s="21"/>
      <c r="D1" s="54"/>
      <c r="E1" s="54" t="s">
        <v>619</v>
      </c>
    </row>
    <row r="2" spans="1:5" x14ac:dyDescent="0.25">
      <c r="B2" s="21"/>
      <c r="C2" s="21"/>
      <c r="D2" s="54"/>
      <c r="E2" s="54" t="s">
        <v>127</v>
      </c>
    </row>
    <row r="3" spans="1:5" x14ac:dyDescent="0.25">
      <c r="B3" s="489" t="s">
        <v>276</v>
      </c>
      <c r="C3" s="489"/>
      <c r="D3" s="489"/>
      <c r="E3" s="489"/>
    </row>
    <row r="4" spans="1:5" x14ac:dyDescent="0.25">
      <c r="B4" s="21"/>
      <c r="C4" s="21"/>
      <c r="D4" s="54"/>
      <c r="E4" s="54" t="s">
        <v>168</v>
      </c>
    </row>
    <row r="5" spans="1:5" x14ac:dyDescent="0.25">
      <c r="B5" s="21"/>
      <c r="C5" s="21"/>
      <c r="D5" s="54"/>
      <c r="E5" s="54" t="s">
        <v>533</v>
      </c>
    </row>
    <row r="6" spans="1:5" ht="14.25" customHeight="1" x14ac:dyDescent="0.25">
      <c r="C6" s="54"/>
    </row>
    <row r="7" spans="1:5" ht="14.25" customHeight="1" x14ac:dyDescent="0.25">
      <c r="B7" s="532" t="s">
        <v>149</v>
      </c>
      <c r="C7" s="532"/>
      <c r="D7" s="532"/>
      <c r="E7" s="532"/>
    </row>
    <row r="8" spans="1:5" ht="42.75" customHeight="1" x14ac:dyDescent="0.25">
      <c r="A8" s="26"/>
      <c r="B8" s="487" t="s">
        <v>610</v>
      </c>
      <c r="C8" s="487"/>
      <c r="D8" s="487"/>
      <c r="E8" s="487"/>
    </row>
    <row r="9" spans="1:5" ht="14.25" customHeight="1" x14ac:dyDescent="0.25">
      <c r="C9" s="54"/>
    </row>
    <row r="10" spans="1:5" ht="18.75" customHeight="1" x14ac:dyDescent="0.25">
      <c r="C10" s="22"/>
      <c r="D10" s="22"/>
      <c r="E10" s="23" t="s">
        <v>114</v>
      </c>
    </row>
    <row r="11" spans="1:5" ht="22.5" customHeight="1" x14ac:dyDescent="0.25">
      <c r="A11" s="24" t="s">
        <v>274</v>
      </c>
      <c r="B11" s="24" t="s">
        <v>277</v>
      </c>
      <c r="C11" s="24" t="s">
        <v>166</v>
      </c>
      <c r="D11" s="94" t="s">
        <v>603</v>
      </c>
      <c r="E11" s="94" t="s">
        <v>593</v>
      </c>
    </row>
    <row r="12" spans="1:5" ht="24" customHeight="1" x14ac:dyDescent="0.25">
      <c r="A12" s="27" t="s">
        <v>275</v>
      </c>
      <c r="B12" s="28" t="s">
        <v>278</v>
      </c>
      <c r="C12" s="29">
        <v>237.4</v>
      </c>
      <c r="D12" s="43"/>
      <c r="E12" s="206">
        <f t="shared" ref="E12:E17" si="0">D12/C12*100</f>
        <v>0</v>
      </c>
    </row>
    <row r="13" spans="1:5" s="16" customFormat="1" ht="16.5" customHeight="1" x14ac:dyDescent="0.25">
      <c r="A13" s="30" t="s">
        <v>128</v>
      </c>
      <c r="B13" s="31" t="s">
        <v>279</v>
      </c>
      <c r="C13" s="29">
        <v>240.1</v>
      </c>
      <c r="D13" s="43"/>
      <c r="E13" s="206">
        <f t="shared" si="0"/>
        <v>0</v>
      </c>
    </row>
    <row r="14" spans="1:5" s="16" customFormat="1" ht="27.75" customHeight="1" x14ac:dyDescent="0.25">
      <c r="A14" s="30" t="s">
        <v>280</v>
      </c>
      <c r="B14" s="32" t="s">
        <v>281</v>
      </c>
      <c r="C14" s="29">
        <v>200.8</v>
      </c>
      <c r="D14" s="43"/>
      <c r="E14" s="206">
        <f t="shared" si="0"/>
        <v>0</v>
      </c>
    </row>
    <row r="15" spans="1:5" s="16" customFormat="1" x14ac:dyDescent="0.25">
      <c r="A15" s="30" t="s">
        <v>282</v>
      </c>
      <c r="B15" s="32" t="s">
        <v>283</v>
      </c>
      <c r="C15" s="29">
        <v>175</v>
      </c>
      <c r="D15" s="43"/>
      <c r="E15" s="206">
        <f t="shared" si="0"/>
        <v>0</v>
      </c>
    </row>
    <row r="16" spans="1:5" ht="18.75" customHeight="1" x14ac:dyDescent="0.25">
      <c r="A16" s="30" t="s">
        <v>284</v>
      </c>
      <c r="B16" s="32" t="s">
        <v>285</v>
      </c>
      <c r="C16" s="33">
        <v>78.900000000000006</v>
      </c>
      <c r="D16" s="44"/>
      <c r="E16" s="206">
        <f t="shared" si="0"/>
        <v>0</v>
      </c>
    </row>
    <row r="17" spans="1:5" s="37" customFormat="1" ht="18.75" customHeight="1" x14ac:dyDescent="0.25">
      <c r="A17" s="34"/>
      <c r="B17" s="35" t="s">
        <v>286</v>
      </c>
      <c r="C17" s="36">
        <f>SUM(C12:C16)</f>
        <v>932.19999999999993</v>
      </c>
      <c r="D17" s="36">
        <f>SUM(D12:D16)</f>
        <v>0</v>
      </c>
      <c r="E17" s="206">
        <f t="shared" si="0"/>
        <v>0</v>
      </c>
    </row>
    <row r="20" spans="1:5" x14ac:dyDescent="0.25">
      <c r="C20" s="25"/>
      <c r="D20" s="25"/>
      <c r="E20" s="25"/>
    </row>
  </sheetData>
  <mergeCells count="3">
    <mergeCell ref="B3:E3"/>
    <mergeCell ref="B7:E7"/>
    <mergeCell ref="B8:E8"/>
  </mergeCells>
  <printOptions horizontalCentered="1"/>
  <pageMargins left="0.59" right="0.15748031496062992" top="0.98425196850393704" bottom="0.98425196850393704" header="0.51181102362204722" footer="0.51181102362204722"/>
  <pageSetup paperSize="9" scale="92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1:F20"/>
  <sheetViews>
    <sheetView view="pageBreakPreview" workbookViewId="0">
      <selection activeCell="E2" sqref="E2"/>
    </sheetView>
  </sheetViews>
  <sheetFormatPr defaultRowHeight="15.75" x14ac:dyDescent="0.25"/>
  <cols>
    <col min="1" max="1" width="6.85546875" style="20" customWidth="1"/>
    <col min="2" max="2" width="40.85546875" style="20" customWidth="1"/>
    <col min="3" max="5" width="14.85546875" style="20" customWidth="1"/>
    <col min="6" max="256" width="9.140625" style="20"/>
    <col min="257" max="257" width="6.85546875" style="20" customWidth="1"/>
    <col min="258" max="258" width="40.85546875" style="20" customWidth="1"/>
    <col min="259" max="261" width="14.85546875" style="20" customWidth="1"/>
    <col min="262" max="512" width="9.140625" style="20"/>
    <col min="513" max="513" width="6.85546875" style="20" customWidth="1"/>
    <col min="514" max="514" width="40.85546875" style="20" customWidth="1"/>
    <col min="515" max="517" width="14.85546875" style="20" customWidth="1"/>
    <col min="518" max="768" width="9.140625" style="20"/>
    <col min="769" max="769" width="6.85546875" style="20" customWidth="1"/>
    <col min="770" max="770" width="40.85546875" style="20" customWidth="1"/>
    <col min="771" max="773" width="14.85546875" style="20" customWidth="1"/>
    <col min="774" max="1024" width="9.140625" style="20"/>
    <col min="1025" max="1025" width="6.85546875" style="20" customWidth="1"/>
    <col min="1026" max="1026" width="40.85546875" style="20" customWidth="1"/>
    <col min="1027" max="1029" width="14.85546875" style="20" customWidth="1"/>
    <col min="1030" max="1280" width="9.140625" style="20"/>
    <col min="1281" max="1281" width="6.85546875" style="20" customWidth="1"/>
    <col min="1282" max="1282" width="40.85546875" style="20" customWidth="1"/>
    <col min="1283" max="1285" width="14.85546875" style="20" customWidth="1"/>
    <col min="1286" max="1536" width="9.140625" style="20"/>
    <col min="1537" max="1537" width="6.85546875" style="20" customWidth="1"/>
    <col min="1538" max="1538" width="40.85546875" style="20" customWidth="1"/>
    <col min="1539" max="1541" width="14.85546875" style="20" customWidth="1"/>
    <col min="1542" max="1792" width="9.140625" style="20"/>
    <col min="1793" max="1793" width="6.85546875" style="20" customWidth="1"/>
    <col min="1794" max="1794" width="40.85546875" style="20" customWidth="1"/>
    <col min="1795" max="1797" width="14.85546875" style="20" customWidth="1"/>
    <col min="1798" max="2048" width="9.140625" style="20"/>
    <col min="2049" max="2049" width="6.85546875" style="20" customWidth="1"/>
    <col min="2050" max="2050" width="40.85546875" style="20" customWidth="1"/>
    <col min="2051" max="2053" width="14.85546875" style="20" customWidth="1"/>
    <col min="2054" max="2304" width="9.140625" style="20"/>
    <col min="2305" max="2305" width="6.85546875" style="20" customWidth="1"/>
    <col min="2306" max="2306" width="40.85546875" style="20" customWidth="1"/>
    <col min="2307" max="2309" width="14.85546875" style="20" customWidth="1"/>
    <col min="2310" max="2560" width="9.140625" style="20"/>
    <col min="2561" max="2561" width="6.85546875" style="20" customWidth="1"/>
    <col min="2562" max="2562" width="40.85546875" style="20" customWidth="1"/>
    <col min="2563" max="2565" width="14.85546875" style="20" customWidth="1"/>
    <col min="2566" max="2816" width="9.140625" style="20"/>
    <col min="2817" max="2817" width="6.85546875" style="20" customWidth="1"/>
    <col min="2818" max="2818" width="40.85546875" style="20" customWidth="1"/>
    <col min="2819" max="2821" width="14.85546875" style="20" customWidth="1"/>
    <col min="2822" max="3072" width="9.140625" style="20"/>
    <col min="3073" max="3073" width="6.85546875" style="20" customWidth="1"/>
    <col min="3074" max="3074" width="40.85546875" style="20" customWidth="1"/>
    <col min="3075" max="3077" width="14.85546875" style="20" customWidth="1"/>
    <col min="3078" max="3328" width="9.140625" style="20"/>
    <col min="3329" max="3329" width="6.85546875" style="20" customWidth="1"/>
    <col min="3330" max="3330" width="40.85546875" style="20" customWidth="1"/>
    <col min="3331" max="3333" width="14.85546875" style="20" customWidth="1"/>
    <col min="3334" max="3584" width="9.140625" style="20"/>
    <col min="3585" max="3585" width="6.85546875" style="20" customWidth="1"/>
    <col min="3586" max="3586" width="40.85546875" style="20" customWidth="1"/>
    <col min="3587" max="3589" width="14.85546875" style="20" customWidth="1"/>
    <col min="3590" max="3840" width="9.140625" style="20"/>
    <col min="3841" max="3841" width="6.85546875" style="20" customWidth="1"/>
    <col min="3842" max="3842" width="40.85546875" style="20" customWidth="1"/>
    <col min="3843" max="3845" width="14.85546875" style="20" customWidth="1"/>
    <col min="3846" max="4096" width="9.140625" style="20"/>
    <col min="4097" max="4097" width="6.85546875" style="20" customWidth="1"/>
    <col min="4098" max="4098" width="40.85546875" style="20" customWidth="1"/>
    <col min="4099" max="4101" width="14.85546875" style="20" customWidth="1"/>
    <col min="4102" max="4352" width="9.140625" style="20"/>
    <col min="4353" max="4353" width="6.85546875" style="20" customWidth="1"/>
    <col min="4354" max="4354" width="40.85546875" style="20" customWidth="1"/>
    <col min="4355" max="4357" width="14.85546875" style="20" customWidth="1"/>
    <col min="4358" max="4608" width="9.140625" style="20"/>
    <col min="4609" max="4609" width="6.85546875" style="20" customWidth="1"/>
    <col min="4610" max="4610" width="40.85546875" style="20" customWidth="1"/>
    <col min="4611" max="4613" width="14.85546875" style="20" customWidth="1"/>
    <col min="4614" max="4864" width="9.140625" style="20"/>
    <col min="4865" max="4865" width="6.85546875" style="20" customWidth="1"/>
    <col min="4866" max="4866" width="40.85546875" style="20" customWidth="1"/>
    <col min="4867" max="4869" width="14.85546875" style="20" customWidth="1"/>
    <col min="4870" max="5120" width="9.140625" style="20"/>
    <col min="5121" max="5121" width="6.85546875" style="20" customWidth="1"/>
    <col min="5122" max="5122" width="40.85546875" style="20" customWidth="1"/>
    <col min="5123" max="5125" width="14.85546875" style="20" customWidth="1"/>
    <col min="5126" max="5376" width="9.140625" style="20"/>
    <col min="5377" max="5377" width="6.85546875" style="20" customWidth="1"/>
    <col min="5378" max="5378" width="40.85546875" style="20" customWidth="1"/>
    <col min="5379" max="5381" width="14.85546875" style="20" customWidth="1"/>
    <col min="5382" max="5632" width="9.140625" style="20"/>
    <col min="5633" max="5633" width="6.85546875" style="20" customWidth="1"/>
    <col min="5634" max="5634" width="40.85546875" style="20" customWidth="1"/>
    <col min="5635" max="5637" width="14.85546875" style="20" customWidth="1"/>
    <col min="5638" max="5888" width="9.140625" style="20"/>
    <col min="5889" max="5889" width="6.85546875" style="20" customWidth="1"/>
    <col min="5890" max="5890" width="40.85546875" style="20" customWidth="1"/>
    <col min="5891" max="5893" width="14.85546875" style="20" customWidth="1"/>
    <col min="5894" max="6144" width="9.140625" style="20"/>
    <col min="6145" max="6145" width="6.85546875" style="20" customWidth="1"/>
    <col min="6146" max="6146" width="40.85546875" style="20" customWidth="1"/>
    <col min="6147" max="6149" width="14.85546875" style="20" customWidth="1"/>
    <col min="6150" max="6400" width="9.140625" style="20"/>
    <col min="6401" max="6401" width="6.85546875" style="20" customWidth="1"/>
    <col min="6402" max="6402" width="40.85546875" style="20" customWidth="1"/>
    <col min="6403" max="6405" width="14.85546875" style="20" customWidth="1"/>
    <col min="6406" max="6656" width="9.140625" style="20"/>
    <col min="6657" max="6657" width="6.85546875" style="20" customWidth="1"/>
    <col min="6658" max="6658" width="40.85546875" style="20" customWidth="1"/>
    <col min="6659" max="6661" width="14.85546875" style="20" customWidth="1"/>
    <col min="6662" max="6912" width="9.140625" style="20"/>
    <col min="6913" max="6913" width="6.85546875" style="20" customWidth="1"/>
    <col min="6914" max="6914" width="40.85546875" style="20" customWidth="1"/>
    <col min="6915" max="6917" width="14.85546875" style="20" customWidth="1"/>
    <col min="6918" max="7168" width="9.140625" style="20"/>
    <col min="7169" max="7169" width="6.85546875" style="20" customWidth="1"/>
    <col min="7170" max="7170" width="40.85546875" style="20" customWidth="1"/>
    <col min="7171" max="7173" width="14.85546875" style="20" customWidth="1"/>
    <col min="7174" max="7424" width="9.140625" style="20"/>
    <col min="7425" max="7425" width="6.85546875" style="20" customWidth="1"/>
    <col min="7426" max="7426" width="40.85546875" style="20" customWidth="1"/>
    <col min="7427" max="7429" width="14.85546875" style="20" customWidth="1"/>
    <col min="7430" max="7680" width="9.140625" style="20"/>
    <col min="7681" max="7681" width="6.85546875" style="20" customWidth="1"/>
    <col min="7682" max="7682" width="40.85546875" style="20" customWidth="1"/>
    <col min="7683" max="7685" width="14.85546875" style="20" customWidth="1"/>
    <col min="7686" max="7936" width="9.140625" style="20"/>
    <col min="7937" max="7937" width="6.85546875" style="20" customWidth="1"/>
    <col min="7938" max="7938" width="40.85546875" style="20" customWidth="1"/>
    <col min="7939" max="7941" width="14.85546875" style="20" customWidth="1"/>
    <col min="7942" max="8192" width="9.140625" style="20"/>
    <col min="8193" max="8193" width="6.85546875" style="20" customWidth="1"/>
    <col min="8194" max="8194" width="40.85546875" style="20" customWidth="1"/>
    <col min="8195" max="8197" width="14.85546875" style="20" customWidth="1"/>
    <col min="8198" max="8448" width="9.140625" style="20"/>
    <col min="8449" max="8449" width="6.85546875" style="20" customWidth="1"/>
    <col min="8450" max="8450" width="40.85546875" style="20" customWidth="1"/>
    <col min="8451" max="8453" width="14.85546875" style="20" customWidth="1"/>
    <col min="8454" max="8704" width="9.140625" style="20"/>
    <col min="8705" max="8705" width="6.85546875" style="20" customWidth="1"/>
    <col min="8706" max="8706" width="40.85546875" style="20" customWidth="1"/>
    <col min="8707" max="8709" width="14.85546875" style="20" customWidth="1"/>
    <col min="8710" max="8960" width="9.140625" style="20"/>
    <col min="8961" max="8961" width="6.85546875" style="20" customWidth="1"/>
    <col min="8962" max="8962" width="40.85546875" style="20" customWidth="1"/>
    <col min="8963" max="8965" width="14.85546875" style="20" customWidth="1"/>
    <col min="8966" max="9216" width="9.140625" style="20"/>
    <col min="9217" max="9217" width="6.85546875" style="20" customWidth="1"/>
    <col min="9218" max="9218" width="40.85546875" style="20" customWidth="1"/>
    <col min="9219" max="9221" width="14.85546875" style="20" customWidth="1"/>
    <col min="9222" max="9472" width="9.140625" style="20"/>
    <col min="9473" max="9473" width="6.85546875" style="20" customWidth="1"/>
    <col min="9474" max="9474" width="40.85546875" style="20" customWidth="1"/>
    <col min="9475" max="9477" width="14.85546875" style="20" customWidth="1"/>
    <col min="9478" max="9728" width="9.140625" style="20"/>
    <col min="9729" max="9729" width="6.85546875" style="20" customWidth="1"/>
    <col min="9730" max="9730" width="40.85546875" style="20" customWidth="1"/>
    <col min="9731" max="9733" width="14.85546875" style="20" customWidth="1"/>
    <col min="9734" max="9984" width="9.140625" style="20"/>
    <col min="9985" max="9985" width="6.85546875" style="20" customWidth="1"/>
    <col min="9986" max="9986" width="40.85546875" style="20" customWidth="1"/>
    <col min="9987" max="9989" width="14.85546875" style="20" customWidth="1"/>
    <col min="9990" max="10240" width="9.140625" style="20"/>
    <col min="10241" max="10241" width="6.85546875" style="20" customWidth="1"/>
    <col min="10242" max="10242" width="40.85546875" style="20" customWidth="1"/>
    <col min="10243" max="10245" width="14.85546875" style="20" customWidth="1"/>
    <col min="10246" max="10496" width="9.140625" style="20"/>
    <col min="10497" max="10497" width="6.85546875" style="20" customWidth="1"/>
    <col min="10498" max="10498" width="40.85546875" style="20" customWidth="1"/>
    <col min="10499" max="10501" width="14.85546875" style="20" customWidth="1"/>
    <col min="10502" max="10752" width="9.140625" style="20"/>
    <col min="10753" max="10753" width="6.85546875" style="20" customWidth="1"/>
    <col min="10754" max="10754" width="40.85546875" style="20" customWidth="1"/>
    <col min="10755" max="10757" width="14.85546875" style="20" customWidth="1"/>
    <col min="10758" max="11008" width="9.140625" style="20"/>
    <col min="11009" max="11009" width="6.85546875" style="20" customWidth="1"/>
    <col min="11010" max="11010" width="40.85546875" style="20" customWidth="1"/>
    <col min="11011" max="11013" width="14.85546875" style="20" customWidth="1"/>
    <col min="11014" max="11264" width="9.140625" style="20"/>
    <col min="11265" max="11265" width="6.85546875" style="20" customWidth="1"/>
    <col min="11266" max="11266" width="40.85546875" style="20" customWidth="1"/>
    <col min="11267" max="11269" width="14.85546875" style="20" customWidth="1"/>
    <col min="11270" max="11520" width="9.140625" style="20"/>
    <col min="11521" max="11521" width="6.85546875" style="20" customWidth="1"/>
    <col min="11522" max="11522" width="40.85546875" style="20" customWidth="1"/>
    <col min="11523" max="11525" width="14.85546875" style="20" customWidth="1"/>
    <col min="11526" max="11776" width="9.140625" style="20"/>
    <col min="11777" max="11777" width="6.85546875" style="20" customWidth="1"/>
    <col min="11778" max="11778" width="40.85546875" style="20" customWidth="1"/>
    <col min="11779" max="11781" width="14.85546875" style="20" customWidth="1"/>
    <col min="11782" max="12032" width="9.140625" style="20"/>
    <col min="12033" max="12033" width="6.85546875" style="20" customWidth="1"/>
    <col min="12034" max="12034" width="40.85546875" style="20" customWidth="1"/>
    <col min="12035" max="12037" width="14.85546875" style="20" customWidth="1"/>
    <col min="12038" max="12288" width="9.140625" style="20"/>
    <col min="12289" max="12289" width="6.85546875" style="20" customWidth="1"/>
    <col min="12290" max="12290" width="40.85546875" style="20" customWidth="1"/>
    <col min="12291" max="12293" width="14.85546875" style="20" customWidth="1"/>
    <col min="12294" max="12544" width="9.140625" style="20"/>
    <col min="12545" max="12545" width="6.85546875" style="20" customWidth="1"/>
    <col min="12546" max="12546" width="40.85546875" style="20" customWidth="1"/>
    <col min="12547" max="12549" width="14.85546875" style="20" customWidth="1"/>
    <col min="12550" max="12800" width="9.140625" style="20"/>
    <col min="12801" max="12801" width="6.85546875" style="20" customWidth="1"/>
    <col min="12802" max="12802" width="40.85546875" style="20" customWidth="1"/>
    <col min="12803" max="12805" width="14.85546875" style="20" customWidth="1"/>
    <col min="12806" max="13056" width="9.140625" style="20"/>
    <col min="13057" max="13057" width="6.85546875" style="20" customWidth="1"/>
    <col min="13058" max="13058" width="40.85546875" style="20" customWidth="1"/>
    <col min="13059" max="13061" width="14.85546875" style="20" customWidth="1"/>
    <col min="13062" max="13312" width="9.140625" style="20"/>
    <col min="13313" max="13313" width="6.85546875" style="20" customWidth="1"/>
    <col min="13314" max="13314" width="40.85546875" style="20" customWidth="1"/>
    <col min="13315" max="13317" width="14.85546875" style="20" customWidth="1"/>
    <col min="13318" max="13568" width="9.140625" style="20"/>
    <col min="13569" max="13569" width="6.85546875" style="20" customWidth="1"/>
    <col min="13570" max="13570" width="40.85546875" style="20" customWidth="1"/>
    <col min="13571" max="13573" width="14.85546875" style="20" customWidth="1"/>
    <col min="13574" max="13824" width="9.140625" style="20"/>
    <col min="13825" max="13825" width="6.85546875" style="20" customWidth="1"/>
    <col min="13826" max="13826" width="40.85546875" style="20" customWidth="1"/>
    <col min="13827" max="13829" width="14.85546875" style="20" customWidth="1"/>
    <col min="13830" max="14080" width="9.140625" style="20"/>
    <col min="14081" max="14081" width="6.85546875" style="20" customWidth="1"/>
    <col min="14082" max="14082" width="40.85546875" style="20" customWidth="1"/>
    <col min="14083" max="14085" width="14.85546875" style="20" customWidth="1"/>
    <col min="14086" max="14336" width="9.140625" style="20"/>
    <col min="14337" max="14337" width="6.85546875" style="20" customWidth="1"/>
    <col min="14338" max="14338" width="40.85546875" style="20" customWidth="1"/>
    <col min="14339" max="14341" width="14.85546875" style="20" customWidth="1"/>
    <col min="14342" max="14592" width="9.140625" style="20"/>
    <col min="14593" max="14593" width="6.85546875" style="20" customWidth="1"/>
    <col min="14594" max="14594" width="40.85546875" style="20" customWidth="1"/>
    <col min="14595" max="14597" width="14.85546875" style="20" customWidth="1"/>
    <col min="14598" max="14848" width="9.140625" style="20"/>
    <col min="14849" max="14849" width="6.85546875" style="20" customWidth="1"/>
    <col min="14850" max="14850" width="40.85546875" style="20" customWidth="1"/>
    <col min="14851" max="14853" width="14.85546875" style="20" customWidth="1"/>
    <col min="14854" max="15104" width="9.140625" style="20"/>
    <col min="15105" max="15105" width="6.85546875" style="20" customWidth="1"/>
    <col min="15106" max="15106" width="40.85546875" style="20" customWidth="1"/>
    <col min="15107" max="15109" width="14.85546875" style="20" customWidth="1"/>
    <col min="15110" max="15360" width="9.140625" style="20"/>
    <col min="15361" max="15361" width="6.85546875" style="20" customWidth="1"/>
    <col min="15362" max="15362" width="40.85546875" style="20" customWidth="1"/>
    <col min="15363" max="15365" width="14.85546875" style="20" customWidth="1"/>
    <col min="15366" max="15616" width="9.140625" style="20"/>
    <col min="15617" max="15617" width="6.85546875" style="20" customWidth="1"/>
    <col min="15618" max="15618" width="40.85546875" style="20" customWidth="1"/>
    <col min="15619" max="15621" width="14.85546875" style="20" customWidth="1"/>
    <col min="15622" max="15872" width="9.140625" style="20"/>
    <col min="15873" max="15873" width="6.85546875" style="20" customWidth="1"/>
    <col min="15874" max="15874" width="40.85546875" style="20" customWidth="1"/>
    <col min="15875" max="15877" width="14.85546875" style="20" customWidth="1"/>
    <col min="15878" max="16128" width="9.140625" style="20"/>
    <col min="16129" max="16129" width="6.85546875" style="20" customWidth="1"/>
    <col min="16130" max="16130" width="40.85546875" style="20" customWidth="1"/>
    <col min="16131" max="16133" width="14.85546875" style="20" customWidth="1"/>
    <col min="16134" max="16384" width="9.140625" style="20"/>
  </cols>
  <sheetData>
    <row r="1" spans="1:5" x14ac:dyDescent="0.25">
      <c r="B1" s="21"/>
      <c r="C1" s="21"/>
      <c r="D1" s="2"/>
      <c r="E1" s="42" t="s">
        <v>620</v>
      </c>
    </row>
    <row r="2" spans="1:5" x14ac:dyDescent="0.25">
      <c r="B2" s="21"/>
      <c r="C2" s="21"/>
      <c r="D2" s="2"/>
      <c r="E2" s="2" t="s">
        <v>127</v>
      </c>
    </row>
    <row r="3" spans="1:5" x14ac:dyDescent="0.25">
      <c r="B3" s="489" t="s">
        <v>287</v>
      </c>
      <c r="C3" s="489"/>
      <c r="D3" s="489"/>
      <c r="E3" s="489"/>
    </row>
    <row r="4" spans="1:5" x14ac:dyDescent="0.25">
      <c r="B4" s="21"/>
      <c r="C4" s="21"/>
      <c r="D4" s="2"/>
      <c r="E4" s="2" t="s">
        <v>168</v>
      </c>
    </row>
    <row r="5" spans="1:5" x14ac:dyDescent="0.25">
      <c r="B5" s="21"/>
      <c r="C5" s="21"/>
      <c r="D5" s="2"/>
      <c r="E5" s="53" t="s">
        <v>533</v>
      </c>
    </row>
    <row r="6" spans="1:5" ht="14.25" customHeight="1" x14ac:dyDescent="0.25">
      <c r="C6" s="2"/>
    </row>
    <row r="7" spans="1:5" ht="14.25" customHeight="1" x14ac:dyDescent="0.25">
      <c r="B7" s="532" t="s">
        <v>149</v>
      </c>
      <c r="C7" s="532"/>
      <c r="D7" s="532"/>
      <c r="E7" s="532"/>
    </row>
    <row r="8" spans="1:5" ht="54" customHeight="1" x14ac:dyDescent="0.25">
      <c r="A8" s="26"/>
      <c r="B8" s="487" t="s">
        <v>611</v>
      </c>
      <c r="C8" s="487"/>
      <c r="D8" s="487"/>
      <c r="E8" s="487"/>
    </row>
    <row r="9" spans="1:5" ht="14.25" customHeight="1" x14ac:dyDescent="0.25">
      <c r="C9" s="2"/>
    </row>
    <row r="10" spans="1:5" ht="18.75" customHeight="1" x14ac:dyDescent="0.25">
      <c r="C10" s="22"/>
      <c r="D10" s="22"/>
      <c r="E10" s="23" t="s">
        <v>114</v>
      </c>
    </row>
    <row r="11" spans="1:5" ht="22.5" customHeight="1" x14ac:dyDescent="0.25">
      <c r="A11" s="24" t="s">
        <v>274</v>
      </c>
      <c r="B11" s="24" t="s">
        <v>277</v>
      </c>
      <c r="C11" s="24" t="s">
        <v>166</v>
      </c>
      <c r="D11" s="94" t="s">
        <v>603</v>
      </c>
      <c r="E11" s="94" t="s">
        <v>593</v>
      </c>
    </row>
    <row r="12" spans="1:5" ht="18" customHeight="1" x14ac:dyDescent="0.25">
      <c r="A12" s="27" t="s">
        <v>275</v>
      </c>
      <c r="B12" s="28" t="s">
        <v>278</v>
      </c>
      <c r="C12" s="29">
        <v>1</v>
      </c>
      <c r="D12" s="43"/>
      <c r="E12" s="206">
        <f t="shared" ref="E12:E17" si="0">D12/C12*100</f>
        <v>0</v>
      </c>
    </row>
    <row r="13" spans="1:5" s="16" customFormat="1" ht="16.5" customHeight="1" x14ac:dyDescent="0.25">
      <c r="A13" s="30" t="s">
        <v>128</v>
      </c>
      <c r="B13" s="31" t="s">
        <v>279</v>
      </c>
      <c r="C13" s="29">
        <v>1</v>
      </c>
      <c r="D13" s="43"/>
      <c r="E13" s="206">
        <f t="shared" si="0"/>
        <v>0</v>
      </c>
    </row>
    <row r="14" spans="1:5" s="16" customFormat="1" ht="27.75" customHeight="1" x14ac:dyDescent="0.25">
      <c r="A14" s="30" t="s">
        <v>280</v>
      </c>
      <c r="B14" s="32" t="s">
        <v>281</v>
      </c>
      <c r="C14" s="29">
        <v>1</v>
      </c>
      <c r="D14" s="43"/>
      <c r="E14" s="206">
        <f t="shared" si="0"/>
        <v>0</v>
      </c>
    </row>
    <row r="15" spans="1:5" s="16" customFormat="1" x14ac:dyDescent="0.25">
      <c r="A15" s="30" t="s">
        <v>282</v>
      </c>
      <c r="B15" s="32" t="s">
        <v>283</v>
      </c>
      <c r="C15" s="29">
        <v>1</v>
      </c>
      <c r="D15" s="43"/>
      <c r="E15" s="206">
        <f t="shared" si="0"/>
        <v>0</v>
      </c>
    </row>
    <row r="16" spans="1:5" ht="18.75" customHeight="1" x14ac:dyDescent="0.25">
      <c r="A16" s="30" t="s">
        <v>284</v>
      </c>
      <c r="B16" s="32" t="s">
        <v>285</v>
      </c>
      <c r="C16" s="33">
        <v>1</v>
      </c>
      <c r="D16" s="43"/>
      <c r="E16" s="206">
        <f t="shared" si="0"/>
        <v>0</v>
      </c>
    </row>
    <row r="17" spans="1:6" ht="18.75" customHeight="1" x14ac:dyDescent="0.25">
      <c r="A17" s="38"/>
      <c r="B17" s="35" t="s">
        <v>286</v>
      </c>
      <c r="C17" s="36">
        <f>SUM(C12:C16)</f>
        <v>5</v>
      </c>
      <c r="D17" s="36">
        <f>SUM(D12:D16)</f>
        <v>0</v>
      </c>
      <c r="E17" s="206">
        <f t="shared" si="0"/>
        <v>0</v>
      </c>
      <c r="F17" s="37"/>
    </row>
    <row r="18" spans="1:6" x14ac:dyDescent="0.25">
      <c r="C18" s="37"/>
      <c r="D18" s="37"/>
      <c r="E18" s="37"/>
      <c r="F18" s="37"/>
    </row>
    <row r="20" spans="1:6" x14ac:dyDescent="0.25">
      <c r="C20" s="25"/>
      <c r="D20" s="25"/>
      <c r="E20" s="25"/>
    </row>
  </sheetData>
  <mergeCells count="3">
    <mergeCell ref="B3:E3"/>
    <mergeCell ref="B7:E7"/>
    <mergeCell ref="B8:E8"/>
  </mergeCells>
  <printOptions horizontalCentered="1"/>
  <pageMargins left="0.59" right="0.15748031496062992" top="0.98425196850393704" bottom="0.98425196850393704" header="0.51181102362204722" footer="0.51181102362204722"/>
  <pageSetup paperSize="9" scale="92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1:E22"/>
  <sheetViews>
    <sheetView view="pageBreakPreview" workbookViewId="0">
      <selection activeCell="E2" sqref="E2"/>
    </sheetView>
  </sheetViews>
  <sheetFormatPr defaultRowHeight="15.75" x14ac:dyDescent="0.25"/>
  <cols>
    <col min="1" max="1" width="6.85546875" style="20" customWidth="1"/>
    <col min="2" max="2" width="32.42578125" style="20" customWidth="1"/>
    <col min="3" max="4" width="14.85546875" style="20" customWidth="1"/>
    <col min="5" max="5" width="14.5703125" style="20" customWidth="1"/>
    <col min="6" max="256" width="9.140625" style="20"/>
    <col min="257" max="257" width="6.85546875" style="20" customWidth="1"/>
    <col min="258" max="258" width="32.42578125" style="20" customWidth="1"/>
    <col min="259" max="260" width="14.85546875" style="20" customWidth="1"/>
    <col min="261" max="261" width="14.5703125" style="20" customWidth="1"/>
    <col min="262" max="512" width="9.140625" style="20"/>
    <col min="513" max="513" width="6.85546875" style="20" customWidth="1"/>
    <col min="514" max="514" width="32.42578125" style="20" customWidth="1"/>
    <col min="515" max="516" width="14.85546875" style="20" customWidth="1"/>
    <col min="517" max="517" width="14.5703125" style="20" customWidth="1"/>
    <col min="518" max="768" width="9.140625" style="20"/>
    <col min="769" max="769" width="6.85546875" style="20" customWidth="1"/>
    <col min="770" max="770" width="32.42578125" style="20" customWidth="1"/>
    <col min="771" max="772" width="14.85546875" style="20" customWidth="1"/>
    <col min="773" max="773" width="14.5703125" style="20" customWidth="1"/>
    <col min="774" max="1024" width="9.140625" style="20"/>
    <col min="1025" max="1025" width="6.85546875" style="20" customWidth="1"/>
    <col min="1026" max="1026" width="32.42578125" style="20" customWidth="1"/>
    <col min="1027" max="1028" width="14.85546875" style="20" customWidth="1"/>
    <col min="1029" max="1029" width="14.5703125" style="20" customWidth="1"/>
    <col min="1030" max="1280" width="9.140625" style="20"/>
    <col min="1281" max="1281" width="6.85546875" style="20" customWidth="1"/>
    <col min="1282" max="1282" width="32.42578125" style="20" customWidth="1"/>
    <col min="1283" max="1284" width="14.85546875" style="20" customWidth="1"/>
    <col min="1285" max="1285" width="14.5703125" style="20" customWidth="1"/>
    <col min="1286" max="1536" width="9.140625" style="20"/>
    <col min="1537" max="1537" width="6.85546875" style="20" customWidth="1"/>
    <col min="1538" max="1538" width="32.42578125" style="20" customWidth="1"/>
    <col min="1539" max="1540" width="14.85546875" style="20" customWidth="1"/>
    <col min="1541" max="1541" width="14.5703125" style="20" customWidth="1"/>
    <col min="1542" max="1792" width="9.140625" style="20"/>
    <col min="1793" max="1793" width="6.85546875" style="20" customWidth="1"/>
    <col min="1794" max="1794" width="32.42578125" style="20" customWidth="1"/>
    <col min="1795" max="1796" width="14.85546875" style="20" customWidth="1"/>
    <col min="1797" max="1797" width="14.5703125" style="20" customWidth="1"/>
    <col min="1798" max="2048" width="9.140625" style="20"/>
    <col min="2049" max="2049" width="6.85546875" style="20" customWidth="1"/>
    <col min="2050" max="2050" width="32.42578125" style="20" customWidth="1"/>
    <col min="2051" max="2052" width="14.85546875" style="20" customWidth="1"/>
    <col min="2053" max="2053" width="14.5703125" style="20" customWidth="1"/>
    <col min="2054" max="2304" width="9.140625" style="20"/>
    <col min="2305" max="2305" width="6.85546875" style="20" customWidth="1"/>
    <col min="2306" max="2306" width="32.42578125" style="20" customWidth="1"/>
    <col min="2307" max="2308" width="14.85546875" style="20" customWidth="1"/>
    <col min="2309" max="2309" width="14.5703125" style="20" customWidth="1"/>
    <col min="2310" max="2560" width="9.140625" style="20"/>
    <col min="2561" max="2561" width="6.85546875" style="20" customWidth="1"/>
    <col min="2562" max="2562" width="32.42578125" style="20" customWidth="1"/>
    <col min="2563" max="2564" width="14.85546875" style="20" customWidth="1"/>
    <col min="2565" max="2565" width="14.5703125" style="20" customWidth="1"/>
    <col min="2566" max="2816" width="9.140625" style="20"/>
    <col min="2817" max="2817" width="6.85546875" style="20" customWidth="1"/>
    <col min="2818" max="2818" width="32.42578125" style="20" customWidth="1"/>
    <col min="2819" max="2820" width="14.85546875" style="20" customWidth="1"/>
    <col min="2821" max="2821" width="14.5703125" style="20" customWidth="1"/>
    <col min="2822" max="3072" width="9.140625" style="20"/>
    <col min="3073" max="3073" width="6.85546875" style="20" customWidth="1"/>
    <col min="3074" max="3074" width="32.42578125" style="20" customWidth="1"/>
    <col min="3075" max="3076" width="14.85546875" style="20" customWidth="1"/>
    <col min="3077" max="3077" width="14.5703125" style="20" customWidth="1"/>
    <col min="3078" max="3328" width="9.140625" style="20"/>
    <col min="3329" max="3329" width="6.85546875" style="20" customWidth="1"/>
    <col min="3330" max="3330" width="32.42578125" style="20" customWidth="1"/>
    <col min="3331" max="3332" width="14.85546875" style="20" customWidth="1"/>
    <col min="3333" max="3333" width="14.5703125" style="20" customWidth="1"/>
    <col min="3334" max="3584" width="9.140625" style="20"/>
    <col min="3585" max="3585" width="6.85546875" style="20" customWidth="1"/>
    <col min="3586" max="3586" width="32.42578125" style="20" customWidth="1"/>
    <col min="3587" max="3588" width="14.85546875" style="20" customWidth="1"/>
    <col min="3589" max="3589" width="14.5703125" style="20" customWidth="1"/>
    <col min="3590" max="3840" width="9.140625" style="20"/>
    <col min="3841" max="3841" width="6.85546875" style="20" customWidth="1"/>
    <col min="3842" max="3842" width="32.42578125" style="20" customWidth="1"/>
    <col min="3843" max="3844" width="14.85546875" style="20" customWidth="1"/>
    <col min="3845" max="3845" width="14.5703125" style="20" customWidth="1"/>
    <col min="3846" max="4096" width="9.140625" style="20"/>
    <col min="4097" max="4097" width="6.85546875" style="20" customWidth="1"/>
    <col min="4098" max="4098" width="32.42578125" style="20" customWidth="1"/>
    <col min="4099" max="4100" width="14.85546875" style="20" customWidth="1"/>
    <col min="4101" max="4101" width="14.5703125" style="20" customWidth="1"/>
    <col min="4102" max="4352" width="9.140625" style="20"/>
    <col min="4353" max="4353" width="6.85546875" style="20" customWidth="1"/>
    <col min="4354" max="4354" width="32.42578125" style="20" customWidth="1"/>
    <col min="4355" max="4356" width="14.85546875" style="20" customWidth="1"/>
    <col min="4357" max="4357" width="14.5703125" style="20" customWidth="1"/>
    <col min="4358" max="4608" width="9.140625" style="20"/>
    <col min="4609" max="4609" width="6.85546875" style="20" customWidth="1"/>
    <col min="4610" max="4610" width="32.42578125" style="20" customWidth="1"/>
    <col min="4611" max="4612" width="14.85546875" style="20" customWidth="1"/>
    <col min="4613" max="4613" width="14.5703125" style="20" customWidth="1"/>
    <col min="4614" max="4864" width="9.140625" style="20"/>
    <col min="4865" max="4865" width="6.85546875" style="20" customWidth="1"/>
    <col min="4866" max="4866" width="32.42578125" style="20" customWidth="1"/>
    <col min="4867" max="4868" width="14.85546875" style="20" customWidth="1"/>
    <col min="4869" max="4869" width="14.5703125" style="20" customWidth="1"/>
    <col min="4870" max="5120" width="9.140625" style="20"/>
    <col min="5121" max="5121" width="6.85546875" style="20" customWidth="1"/>
    <col min="5122" max="5122" width="32.42578125" style="20" customWidth="1"/>
    <col min="5123" max="5124" width="14.85546875" style="20" customWidth="1"/>
    <col min="5125" max="5125" width="14.5703125" style="20" customWidth="1"/>
    <col min="5126" max="5376" width="9.140625" style="20"/>
    <col min="5377" max="5377" width="6.85546875" style="20" customWidth="1"/>
    <col min="5378" max="5378" width="32.42578125" style="20" customWidth="1"/>
    <col min="5379" max="5380" width="14.85546875" style="20" customWidth="1"/>
    <col min="5381" max="5381" width="14.5703125" style="20" customWidth="1"/>
    <col min="5382" max="5632" width="9.140625" style="20"/>
    <col min="5633" max="5633" width="6.85546875" style="20" customWidth="1"/>
    <col min="5634" max="5634" width="32.42578125" style="20" customWidth="1"/>
    <col min="5635" max="5636" width="14.85546875" style="20" customWidth="1"/>
    <col min="5637" max="5637" width="14.5703125" style="20" customWidth="1"/>
    <col min="5638" max="5888" width="9.140625" style="20"/>
    <col min="5889" max="5889" width="6.85546875" style="20" customWidth="1"/>
    <col min="5890" max="5890" width="32.42578125" style="20" customWidth="1"/>
    <col min="5891" max="5892" width="14.85546875" style="20" customWidth="1"/>
    <col min="5893" max="5893" width="14.5703125" style="20" customWidth="1"/>
    <col min="5894" max="6144" width="9.140625" style="20"/>
    <col min="6145" max="6145" width="6.85546875" style="20" customWidth="1"/>
    <col min="6146" max="6146" width="32.42578125" style="20" customWidth="1"/>
    <col min="6147" max="6148" width="14.85546875" style="20" customWidth="1"/>
    <col min="6149" max="6149" width="14.5703125" style="20" customWidth="1"/>
    <col min="6150" max="6400" width="9.140625" style="20"/>
    <col min="6401" max="6401" width="6.85546875" style="20" customWidth="1"/>
    <col min="6402" max="6402" width="32.42578125" style="20" customWidth="1"/>
    <col min="6403" max="6404" width="14.85546875" style="20" customWidth="1"/>
    <col min="6405" max="6405" width="14.5703125" style="20" customWidth="1"/>
    <col min="6406" max="6656" width="9.140625" style="20"/>
    <col min="6657" max="6657" width="6.85546875" style="20" customWidth="1"/>
    <col min="6658" max="6658" width="32.42578125" style="20" customWidth="1"/>
    <col min="6659" max="6660" width="14.85546875" style="20" customWidth="1"/>
    <col min="6661" max="6661" width="14.5703125" style="20" customWidth="1"/>
    <col min="6662" max="6912" width="9.140625" style="20"/>
    <col min="6913" max="6913" width="6.85546875" style="20" customWidth="1"/>
    <col min="6914" max="6914" width="32.42578125" style="20" customWidth="1"/>
    <col min="6915" max="6916" width="14.85546875" style="20" customWidth="1"/>
    <col min="6917" max="6917" width="14.5703125" style="20" customWidth="1"/>
    <col min="6918" max="7168" width="9.140625" style="20"/>
    <col min="7169" max="7169" width="6.85546875" style="20" customWidth="1"/>
    <col min="7170" max="7170" width="32.42578125" style="20" customWidth="1"/>
    <col min="7171" max="7172" width="14.85546875" style="20" customWidth="1"/>
    <col min="7173" max="7173" width="14.5703125" style="20" customWidth="1"/>
    <col min="7174" max="7424" width="9.140625" style="20"/>
    <col min="7425" max="7425" width="6.85546875" style="20" customWidth="1"/>
    <col min="7426" max="7426" width="32.42578125" style="20" customWidth="1"/>
    <col min="7427" max="7428" width="14.85546875" style="20" customWidth="1"/>
    <col min="7429" max="7429" width="14.5703125" style="20" customWidth="1"/>
    <col min="7430" max="7680" width="9.140625" style="20"/>
    <col min="7681" max="7681" width="6.85546875" style="20" customWidth="1"/>
    <col min="7682" max="7682" width="32.42578125" style="20" customWidth="1"/>
    <col min="7683" max="7684" width="14.85546875" style="20" customWidth="1"/>
    <col min="7685" max="7685" width="14.5703125" style="20" customWidth="1"/>
    <col min="7686" max="7936" width="9.140625" style="20"/>
    <col min="7937" max="7937" width="6.85546875" style="20" customWidth="1"/>
    <col min="7938" max="7938" width="32.42578125" style="20" customWidth="1"/>
    <col min="7939" max="7940" width="14.85546875" style="20" customWidth="1"/>
    <col min="7941" max="7941" width="14.5703125" style="20" customWidth="1"/>
    <col min="7942" max="8192" width="9.140625" style="20"/>
    <col min="8193" max="8193" width="6.85546875" style="20" customWidth="1"/>
    <col min="8194" max="8194" width="32.42578125" style="20" customWidth="1"/>
    <col min="8195" max="8196" width="14.85546875" style="20" customWidth="1"/>
    <col min="8197" max="8197" width="14.5703125" style="20" customWidth="1"/>
    <col min="8198" max="8448" width="9.140625" style="20"/>
    <col min="8449" max="8449" width="6.85546875" style="20" customWidth="1"/>
    <col min="8450" max="8450" width="32.42578125" style="20" customWidth="1"/>
    <col min="8451" max="8452" width="14.85546875" style="20" customWidth="1"/>
    <col min="8453" max="8453" width="14.5703125" style="20" customWidth="1"/>
    <col min="8454" max="8704" width="9.140625" style="20"/>
    <col min="8705" max="8705" width="6.85546875" style="20" customWidth="1"/>
    <col min="8706" max="8706" width="32.42578125" style="20" customWidth="1"/>
    <col min="8707" max="8708" width="14.85546875" style="20" customWidth="1"/>
    <col min="8709" max="8709" width="14.5703125" style="20" customWidth="1"/>
    <col min="8710" max="8960" width="9.140625" style="20"/>
    <col min="8961" max="8961" width="6.85546875" style="20" customWidth="1"/>
    <col min="8962" max="8962" width="32.42578125" style="20" customWidth="1"/>
    <col min="8963" max="8964" width="14.85546875" style="20" customWidth="1"/>
    <col min="8965" max="8965" width="14.5703125" style="20" customWidth="1"/>
    <col min="8966" max="9216" width="9.140625" style="20"/>
    <col min="9217" max="9217" width="6.85546875" style="20" customWidth="1"/>
    <col min="9218" max="9218" width="32.42578125" style="20" customWidth="1"/>
    <col min="9219" max="9220" width="14.85546875" style="20" customWidth="1"/>
    <col min="9221" max="9221" width="14.5703125" style="20" customWidth="1"/>
    <col min="9222" max="9472" width="9.140625" style="20"/>
    <col min="9473" max="9473" width="6.85546875" style="20" customWidth="1"/>
    <col min="9474" max="9474" width="32.42578125" style="20" customWidth="1"/>
    <col min="9475" max="9476" width="14.85546875" style="20" customWidth="1"/>
    <col min="9477" max="9477" width="14.5703125" style="20" customWidth="1"/>
    <col min="9478" max="9728" width="9.140625" style="20"/>
    <col min="9729" max="9729" width="6.85546875" style="20" customWidth="1"/>
    <col min="9730" max="9730" width="32.42578125" style="20" customWidth="1"/>
    <col min="9731" max="9732" width="14.85546875" style="20" customWidth="1"/>
    <col min="9733" max="9733" width="14.5703125" style="20" customWidth="1"/>
    <col min="9734" max="9984" width="9.140625" style="20"/>
    <col min="9985" max="9985" width="6.85546875" style="20" customWidth="1"/>
    <col min="9986" max="9986" width="32.42578125" style="20" customWidth="1"/>
    <col min="9987" max="9988" width="14.85546875" style="20" customWidth="1"/>
    <col min="9989" max="9989" width="14.5703125" style="20" customWidth="1"/>
    <col min="9990" max="10240" width="9.140625" style="20"/>
    <col min="10241" max="10241" width="6.85546875" style="20" customWidth="1"/>
    <col min="10242" max="10242" width="32.42578125" style="20" customWidth="1"/>
    <col min="10243" max="10244" width="14.85546875" style="20" customWidth="1"/>
    <col min="10245" max="10245" width="14.5703125" style="20" customWidth="1"/>
    <col min="10246" max="10496" width="9.140625" style="20"/>
    <col min="10497" max="10497" width="6.85546875" style="20" customWidth="1"/>
    <col min="10498" max="10498" width="32.42578125" style="20" customWidth="1"/>
    <col min="10499" max="10500" width="14.85546875" style="20" customWidth="1"/>
    <col min="10501" max="10501" width="14.5703125" style="20" customWidth="1"/>
    <col min="10502" max="10752" width="9.140625" style="20"/>
    <col min="10753" max="10753" width="6.85546875" style="20" customWidth="1"/>
    <col min="10754" max="10754" width="32.42578125" style="20" customWidth="1"/>
    <col min="10755" max="10756" width="14.85546875" style="20" customWidth="1"/>
    <col min="10757" max="10757" width="14.5703125" style="20" customWidth="1"/>
    <col min="10758" max="11008" width="9.140625" style="20"/>
    <col min="11009" max="11009" width="6.85546875" style="20" customWidth="1"/>
    <col min="11010" max="11010" width="32.42578125" style="20" customWidth="1"/>
    <col min="11011" max="11012" width="14.85546875" style="20" customWidth="1"/>
    <col min="11013" max="11013" width="14.5703125" style="20" customWidth="1"/>
    <col min="11014" max="11264" width="9.140625" style="20"/>
    <col min="11265" max="11265" width="6.85546875" style="20" customWidth="1"/>
    <col min="11266" max="11266" width="32.42578125" style="20" customWidth="1"/>
    <col min="11267" max="11268" width="14.85546875" style="20" customWidth="1"/>
    <col min="11269" max="11269" width="14.5703125" style="20" customWidth="1"/>
    <col min="11270" max="11520" width="9.140625" style="20"/>
    <col min="11521" max="11521" width="6.85546875" style="20" customWidth="1"/>
    <col min="11522" max="11522" width="32.42578125" style="20" customWidth="1"/>
    <col min="11523" max="11524" width="14.85546875" style="20" customWidth="1"/>
    <col min="11525" max="11525" width="14.5703125" style="20" customWidth="1"/>
    <col min="11526" max="11776" width="9.140625" style="20"/>
    <col min="11777" max="11777" width="6.85546875" style="20" customWidth="1"/>
    <col min="11778" max="11778" width="32.42578125" style="20" customWidth="1"/>
    <col min="11779" max="11780" width="14.85546875" style="20" customWidth="1"/>
    <col min="11781" max="11781" width="14.5703125" style="20" customWidth="1"/>
    <col min="11782" max="12032" width="9.140625" style="20"/>
    <col min="12033" max="12033" width="6.85546875" style="20" customWidth="1"/>
    <col min="12034" max="12034" width="32.42578125" style="20" customWidth="1"/>
    <col min="12035" max="12036" width="14.85546875" style="20" customWidth="1"/>
    <col min="12037" max="12037" width="14.5703125" style="20" customWidth="1"/>
    <col min="12038" max="12288" width="9.140625" style="20"/>
    <col min="12289" max="12289" width="6.85546875" style="20" customWidth="1"/>
    <col min="12290" max="12290" width="32.42578125" style="20" customWidth="1"/>
    <col min="12291" max="12292" width="14.85546875" style="20" customWidth="1"/>
    <col min="12293" max="12293" width="14.5703125" style="20" customWidth="1"/>
    <col min="12294" max="12544" width="9.140625" style="20"/>
    <col min="12545" max="12545" width="6.85546875" style="20" customWidth="1"/>
    <col min="12546" max="12546" width="32.42578125" style="20" customWidth="1"/>
    <col min="12547" max="12548" width="14.85546875" style="20" customWidth="1"/>
    <col min="12549" max="12549" width="14.5703125" style="20" customWidth="1"/>
    <col min="12550" max="12800" width="9.140625" style="20"/>
    <col min="12801" max="12801" width="6.85546875" style="20" customWidth="1"/>
    <col min="12802" max="12802" width="32.42578125" style="20" customWidth="1"/>
    <col min="12803" max="12804" width="14.85546875" style="20" customWidth="1"/>
    <col min="12805" max="12805" width="14.5703125" style="20" customWidth="1"/>
    <col min="12806" max="13056" width="9.140625" style="20"/>
    <col min="13057" max="13057" width="6.85546875" style="20" customWidth="1"/>
    <col min="13058" max="13058" width="32.42578125" style="20" customWidth="1"/>
    <col min="13059" max="13060" width="14.85546875" style="20" customWidth="1"/>
    <col min="13061" max="13061" width="14.5703125" style="20" customWidth="1"/>
    <col min="13062" max="13312" width="9.140625" style="20"/>
    <col min="13313" max="13313" width="6.85546875" style="20" customWidth="1"/>
    <col min="13314" max="13314" width="32.42578125" style="20" customWidth="1"/>
    <col min="13315" max="13316" width="14.85546875" style="20" customWidth="1"/>
    <col min="13317" max="13317" width="14.5703125" style="20" customWidth="1"/>
    <col min="13318" max="13568" width="9.140625" style="20"/>
    <col min="13569" max="13569" width="6.85546875" style="20" customWidth="1"/>
    <col min="13570" max="13570" width="32.42578125" style="20" customWidth="1"/>
    <col min="13571" max="13572" width="14.85546875" style="20" customWidth="1"/>
    <col min="13573" max="13573" width="14.5703125" style="20" customWidth="1"/>
    <col min="13574" max="13824" width="9.140625" style="20"/>
    <col min="13825" max="13825" width="6.85546875" style="20" customWidth="1"/>
    <col min="13826" max="13826" width="32.42578125" style="20" customWidth="1"/>
    <col min="13827" max="13828" width="14.85546875" style="20" customWidth="1"/>
    <col min="13829" max="13829" width="14.5703125" style="20" customWidth="1"/>
    <col min="13830" max="14080" width="9.140625" style="20"/>
    <col min="14081" max="14081" width="6.85546875" style="20" customWidth="1"/>
    <col min="14082" max="14082" width="32.42578125" style="20" customWidth="1"/>
    <col min="14083" max="14084" width="14.85546875" style="20" customWidth="1"/>
    <col min="14085" max="14085" width="14.5703125" style="20" customWidth="1"/>
    <col min="14086" max="14336" width="9.140625" style="20"/>
    <col min="14337" max="14337" width="6.85546875" style="20" customWidth="1"/>
    <col min="14338" max="14338" width="32.42578125" style="20" customWidth="1"/>
    <col min="14339" max="14340" width="14.85546875" style="20" customWidth="1"/>
    <col min="14341" max="14341" width="14.5703125" style="20" customWidth="1"/>
    <col min="14342" max="14592" width="9.140625" style="20"/>
    <col min="14593" max="14593" width="6.85546875" style="20" customWidth="1"/>
    <col min="14594" max="14594" width="32.42578125" style="20" customWidth="1"/>
    <col min="14595" max="14596" width="14.85546875" style="20" customWidth="1"/>
    <col min="14597" max="14597" width="14.5703125" style="20" customWidth="1"/>
    <col min="14598" max="14848" width="9.140625" style="20"/>
    <col min="14849" max="14849" width="6.85546875" style="20" customWidth="1"/>
    <col min="14850" max="14850" width="32.42578125" style="20" customWidth="1"/>
    <col min="14851" max="14852" width="14.85546875" style="20" customWidth="1"/>
    <col min="14853" max="14853" width="14.5703125" style="20" customWidth="1"/>
    <col min="14854" max="15104" width="9.140625" style="20"/>
    <col min="15105" max="15105" width="6.85546875" style="20" customWidth="1"/>
    <col min="15106" max="15106" width="32.42578125" style="20" customWidth="1"/>
    <col min="15107" max="15108" width="14.85546875" style="20" customWidth="1"/>
    <col min="15109" max="15109" width="14.5703125" style="20" customWidth="1"/>
    <col min="15110" max="15360" width="9.140625" style="20"/>
    <col min="15361" max="15361" width="6.85546875" style="20" customWidth="1"/>
    <col min="15362" max="15362" width="32.42578125" style="20" customWidth="1"/>
    <col min="15363" max="15364" width="14.85546875" style="20" customWidth="1"/>
    <col min="15365" max="15365" width="14.5703125" style="20" customWidth="1"/>
    <col min="15366" max="15616" width="9.140625" style="20"/>
    <col min="15617" max="15617" width="6.85546875" style="20" customWidth="1"/>
    <col min="15618" max="15618" width="32.42578125" style="20" customWidth="1"/>
    <col min="15619" max="15620" width="14.85546875" style="20" customWidth="1"/>
    <col min="15621" max="15621" width="14.5703125" style="20" customWidth="1"/>
    <col min="15622" max="15872" width="9.140625" style="20"/>
    <col min="15873" max="15873" width="6.85546875" style="20" customWidth="1"/>
    <col min="15874" max="15874" width="32.42578125" style="20" customWidth="1"/>
    <col min="15875" max="15876" width="14.85546875" style="20" customWidth="1"/>
    <col min="15877" max="15877" width="14.5703125" style="20" customWidth="1"/>
    <col min="15878" max="16128" width="9.140625" style="20"/>
    <col min="16129" max="16129" width="6.85546875" style="20" customWidth="1"/>
    <col min="16130" max="16130" width="32.42578125" style="20" customWidth="1"/>
    <col min="16131" max="16132" width="14.85546875" style="20" customWidth="1"/>
    <col min="16133" max="16133" width="14.5703125" style="20" customWidth="1"/>
    <col min="16134" max="16384" width="9.140625" style="20"/>
  </cols>
  <sheetData>
    <row r="1" spans="1:5" x14ac:dyDescent="0.25">
      <c r="B1" s="21"/>
      <c r="C1" s="21"/>
      <c r="D1" s="2"/>
      <c r="E1" s="42" t="s">
        <v>311</v>
      </c>
    </row>
    <row r="2" spans="1:5" x14ac:dyDescent="0.25">
      <c r="B2" s="21"/>
      <c r="C2" s="21"/>
      <c r="D2" s="2"/>
      <c r="E2" s="2" t="s">
        <v>127</v>
      </c>
    </row>
    <row r="3" spans="1:5" x14ac:dyDescent="0.25">
      <c r="B3" s="489" t="s">
        <v>168</v>
      </c>
      <c r="C3" s="489"/>
      <c r="D3" s="489"/>
      <c r="E3" s="489"/>
    </row>
    <row r="4" spans="1:5" x14ac:dyDescent="0.25">
      <c r="B4" s="21"/>
      <c r="C4" s="21"/>
      <c r="D4" s="2"/>
      <c r="E4" s="2" t="s">
        <v>168</v>
      </c>
    </row>
    <row r="5" spans="1:5" x14ac:dyDescent="0.25">
      <c r="B5" s="21"/>
      <c r="C5" s="21"/>
      <c r="D5" s="2"/>
      <c r="E5" s="53" t="s">
        <v>533</v>
      </c>
    </row>
    <row r="6" spans="1:5" ht="14.25" customHeight="1" x14ac:dyDescent="0.25">
      <c r="C6" s="2"/>
    </row>
    <row r="7" spans="1:5" ht="14.25" customHeight="1" x14ac:dyDescent="0.25">
      <c r="B7" s="532" t="s">
        <v>149</v>
      </c>
      <c r="C7" s="532"/>
      <c r="D7" s="532"/>
      <c r="E7" s="532"/>
    </row>
    <row r="8" spans="1:5" ht="53.25" customHeight="1" x14ac:dyDescent="0.25">
      <c r="A8" s="26"/>
      <c r="B8" s="487" t="s">
        <v>612</v>
      </c>
      <c r="C8" s="487"/>
      <c r="D8" s="487"/>
      <c r="E8" s="487"/>
    </row>
    <row r="9" spans="1:5" ht="14.25" customHeight="1" x14ac:dyDescent="0.25">
      <c r="C9" s="2"/>
    </row>
    <row r="10" spans="1:5" ht="18.75" customHeight="1" x14ac:dyDescent="0.25">
      <c r="C10" s="22"/>
      <c r="D10" s="22"/>
      <c r="E10" s="23" t="s">
        <v>114</v>
      </c>
    </row>
    <row r="11" spans="1:5" ht="22.5" customHeight="1" x14ac:dyDescent="0.25">
      <c r="A11" s="24" t="s">
        <v>274</v>
      </c>
      <c r="B11" s="24" t="s">
        <v>277</v>
      </c>
      <c r="C11" s="24" t="s">
        <v>166</v>
      </c>
      <c r="D11" s="94" t="s">
        <v>603</v>
      </c>
      <c r="E11" s="94" t="s">
        <v>593</v>
      </c>
    </row>
    <row r="12" spans="1:5" ht="16.5" customHeight="1" x14ac:dyDescent="0.25">
      <c r="A12" s="27" t="s">
        <v>275</v>
      </c>
      <c r="B12" s="28" t="s">
        <v>278</v>
      </c>
      <c r="C12" s="29">
        <v>157.1</v>
      </c>
      <c r="D12" s="208">
        <v>39.276000000000003</v>
      </c>
      <c r="E12" s="206">
        <f t="shared" ref="E12:E17" si="0">D12/C12*100</f>
        <v>25.00063653723743</v>
      </c>
    </row>
    <row r="13" spans="1:5" s="16" customFormat="1" ht="16.5" customHeight="1" x14ac:dyDescent="0.25">
      <c r="A13" s="30" t="s">
        <v>128</v>
      </c>
      <c r="B13" s="31" t="s">
        <v>279</v>
      </c>
      <c r="C13" s="29">
        <v>157.1</v>
      </c>
      <c r="D13" s="208">
        <v>39.276000000000003</v>
      </c>
      <c r="E13" s="206">
        <f t="shared" si="0"/>
        <v>25.00063653723743</v>
      </c>
    </row>
    <row r="14" spans="1:5" s="16" customFormat="1" ht="27.75" customHeight="1" x14ac:dyDescent="0.25">
      <c r="A14" s="30" t="s">
        <v>280</v>
      </c>
      <c r="B14" s="32" t="s">
        <v>281</v>
      </c>
      <c r="C14" s="29">
        <v>157.1</v>
      </c>
      <c r="D14" s="208">
        <v>39.276000000000003</v>
      </c>
      <c r="E14" s="206">
        <f t="shared" si="0"/>
        <v>25.00063653723743</v>
      </c>
    </row>
    <row r="15" spans="1:5" s="16" customFormat="1" x14ac:dyDescent="0.25">
      <c r="A15" s="30" t="s">
        <v>282</v>
      </c>
      <c r="B15" s="32" t="s">
        <v>283</v>
      </c>
      <c r="C15" s="29">
        <v>117.7</v>
      </c>
      <c r="D15" s="208">
        <v>29.423999999999999</v>
      </c>
      <c r="E15" s="206">
        <f t="shared" si="0"/>
        <v>24.999150382327951</v>
      </c>
    </row>
    <row r="16" spans="1:5" ht="18.75" customHeight="1" x14ac:dyDescent="0.25">
      <c r="A16" s="30" t="s">
        <v>284</v>
      </c>
      <c r="B16" s="32" t="s">
        <v>285</v>
      </c>
      <c r="C16" s="29">
        <v>117.7</v>
      </c>
      <c r="D16" s="208">
        <v>29.423999999999999</v>
      </c>
      <c r="E16" s="206">
        <f t="shared" si="0"/>
        <v>24.999150382327951</v>
      </c>
    </row>
    <row r="17" spans="1:5" ht="18.75" customHeight="1" x14ac:dyDescent="0.25">
      <c r="A17" s="38"/>
      <c r="B17" s="35" t="s">
        <v>286</v>
      </c>
      <c r="C17" s="29">
        <f>SUM(C12:C16)</f>
        <v>706.7</v>
      </c>
      <c r="D17" s="29">
        <f>SUM(D12:D16)</f>
        <v>176.67600000000002</v>
      </c>
      <c r="E17" s="206">
        <f t="shared" si="0"/>
        <v>25.000141502759305</v>
      </c>
    </row>
    <row r="20" spans="1:5" x14ac:dyDescent="0.25">
      <c r="C20" s="25"/>
      <c r="D20" s="25"/>
      <c r="E20" s="25"/>
    </row>
    <row r="21" spans="1:5" x14ac:dyDescent="0.25">
      <c r="D21" s="20">
        <f>'11'!AG635</f>
        <v>176.67599999999999</v>
      </c>
    </row>
    <row r="22" spans="1:5" x14ac:dyDescent="0.25">
      <c r="D22" s="209">
        <f>D17-D21</f>
        <v>0</v>
      </c>
    </row>
  </sheetData>
  <mergeCells count="3">
    <mergeCell ref="B3:E3"/>
    <mergeCell ref="B7:E7"/>
    <mergeCell ref="B8:E8"/>
  </mergeCells>
  <printOptions horizontalCentered="1"/>
  <pageMargins left="0.59" right="0.15748031496062992" top="0.98425196850393704" bottom="0.98425196850393704" header="0.51181102362204722" footer="0.51181102362204722"/>
  <pageSetup paperSize="9" scale="89" orientation="portrait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1:E21"/>
  <sheetViews>
    <sheetView view="pageBreakPreview" workbookViewId="0">
      <selection activeCell="E2" sqref="E2"/>
    </sheetView>
  </sheetViews>
  <sheetFormatPr defaultRowHeight="15.75" x14ac:dyDescent="0.25"/>
  <cols>
    <col min="1" max="1" width="6.85546875" style="20" customWidth="1"/>
    <col min="2" max="2" width="39.5703125" style="20" customWidth="1"/>
    <col min="3" max="4" width="14.85546875" style="20" customWidth="1"/>
    <col min="5" max="5" width="16.28515625" style="20" customWidth="1"/>
    <col min="6" max="256" width="9.140625" style="20"/>
    <col min="257" max="257" width="6.85546875" style="20" customWidth="1"/>
    <col min="258" max="258" width="39.5703125" style="20" customWidth="1"/>
    <col min="259" max="260" width="14.85546875" style="20" customWidth="1"/>
    <col min="261" max="261" width="16.28515625" style="20" customWidth="1"/>
    <col min="262" max="512" width="9.140625" style="20"/>
    <col min="513" max="513" width="6.85546875" style="20" customWidth="1"/>
    <col min="514" max="514" width="39.5703125" style="20" customWidth="1"/>
    <col min="515" max="516" width="14.85546875" style="20" customWidth="1"/>
    <col min="517" max="517" width="16.28515625" style="20" customWidth="1"/>
    <col min="518" max="768" width="9.140625" style="20"/>
    <col min="769" max="769" width="6.85546875" style="20" customWidth="1"/>
    <col min="770" max="770" width="39.5703125" style="20" customWidth="1"/>
    <col min="771" max="772" width="14.85546875" style="20" customWidth="1"/>
    <col min="773" max="773" width="16.28515625" style="20" customWidth="1"/>
    <col min="774" max="1024" width="9.140625" style="20"/>
    <col min="1025" max="1025" width="6.85546875" style="20" customWidth="1"/>
    <col min="1026" max="1026" width="39.5703125" style="20" customWidth="1"/>
    <col min="1027" max="1028" width="14.85546875" style="20" customWidth="1"/>
    <col min="1029" max="1029" width="16.28515625" style="20" customWidth="1"/>
    <col min="1030" max="1280" width="9.140625" style="20"/>
    <col min="1281" max="1281" width="6.85546875" style="20" customWidth="1"/>
    <col min="1282" max="1282" width="39.5703125" style="20" customWidth="1"/>
    <col min="1283" max="1284" width="14.85546875" style="20" customWidth="1"/>
    <col min="1285" max="1285" width="16.28515625" style="20" customWidth="1"/>
    <col min="1286" max="1536" width="9.140625" style="20"/>
    <col min="1537" max="1537" width="6.85546875" style="20" customWidth="1"/>
    <col min="1538" max="1538" width="39.5703125" style="20" customWidth="1"/>
    <col min="1539" max="1540" width="14.85546875" style="20" customWidth="1"/>
    <col min="1541" max="1541" width="16.28515625" style="20" customWidth="1"/>
    <col min="1542" max="1792" width="9.140625" style="20"/>
    <col min="1793" max="1793" width="6.85546875" style="20" customWidth="1"/>
    <col min="1794" max="1794" width="39.5703125" style="20" customWidth="1"/>
    <col min="1795" max="1796" width="14.85546875" style="20" customWidth="1"/>
    <col min="1797" max="1797" width="16.28515625" style="20" customWidth="1"/>
    <col min="1798" max="2048" width="9.140625" style="20"/>
    <col min="2049" max="2049" width="6.85546875" style="20" customWidth="1"/>
    <col min="2050" max="2050" width="39.5703125" style="20" customWidth="1"/>
    <col min="2051" max="2052" width="14.85546875" style="20" customWidth="1"/>
    <col min="2053" max="2053" width="16.28515625" style="20" customWidth="1"/>
    <col min="2054" max="2304" width="9.140625" style="20"/>
    <col min="2305" max="2305" width="6.85546875" style="20" customWidth="1"/>
    <col min="2306" max="2306" width="39.5703125" style="20" customWidth="1"/>
    <col min="2307" max="2308" width="14.85546875" style="20" customWidth="1"/>
    <col min="2309" max="2309" width="16.28515625" style="20" customWidth="1"/>
    <col min="2310" max="2560" width="9.140625" style="20"/>
    <col min="2561" max="2561" width="6.85546875" style="20" customWidth="1"/>
    <col min="2562" max="2562" width="39.5703125" style="20" customWidth="1"/>
    <col min="2563" max="2564" width="14.85546875" style="20" customWidth="1"/>
    <col min="2565" max="2565" width="16.28515625" style="20" customWidth="1"/>
    <col min="2566" max="2816" width="9.140625" style="20"/>
    <col min="2817" max="2817" width="6.85546875" style="20" customWidth="1"/>
    <col min="2818" max="2818" width="39.5703125" style="20" customWidth="1"/>
    <col min="2819" max="2820" width="14.85546875" style="20" customWidth="1"/>
    <col min="2821" max="2821" width="16.28515625" style="20" customWidth="1"/>
    <col min="2822" max="3072" width="9.140625" style="20"/>
    <col min="3073" max="3073" width="6.85546875" style="20" customWidth="1"/>
    <col min="3074" max="3074" width="39.5703125" style="20" customWidth="1"/>
    <col min="3075" max="3076" width="14.85546875" style="20" customWidth="1"/>
    <col min="3077" max="3077" width="16.28515625" style="20" customWidth="1"/>
    <col min="3078" max="3328" width="9.140625" style="20"/>
    <col min="3329" max="3329" width="6.85546875" style="20" customWidth="1"/>
    <col min="3330" max="3330" width="39.5703125" style="20" customWidth="1"/>
    <col min="3331" max="3332" width="14.85546875" style="20" customWidth="1"/>
    <col min="3333" max="3333" width="16.28515625" style="20" customWidth="1"/>
    <col min="3334" max="3584" width="9.140625" style="20"/>
    <col min="3585" max="3585" width="6.85546875" style="20" customWidth="1"/>
    <col min="3586" max="3586" width="39.5703125" style="20" customWidth="1"/>
    <col min="3587" max="3588" width="14.85546875" style="20" customWidth="1"/>
    <col min="3589" max="3589" width="16.28515625" style="20" customWidth="1"/>
    <col min="3590" max="3840" width="9.140625" style="20"/>
    <col min="3841" max="3841" width="6.85546875" style="20" customWidth="1"/>
    <col min="3842" max="3842" width="39.5703125" style="20" customWidth="1"/>
    <col min="3843" max="3844" width="14.85546875" style="20" customWidth="1"/>
    <col min="3845" max="3845" width="16.28515625" style="20" customWidth="1"/>
    <col min="3846" max="4096" width="9.140625" style="20"/>
    <col min="4097" max="4097" width="6.85546875" style="20" customWidth="1"/>
    <col min="4098" max="4098" width="39.5703125" style="20" customWidth="1"/>
    <col min="4099" max="4100" width="14.85546875" style="20" customWidth="1"/>
    <col min="4101" max="4101" width="16.28515625" style="20" customWidth="1"/>
    <col min="4102" max="4352" width="9.140625" style="20"/>
    <col min="4353" max="4353" width="6.85546875" style="20" customWidth="1"/>
    <col min="4354" max="4354" width="39.5703125" style="20" customWidth="1"/>
    <col min="4355" max="4356" width="14.85546875" style="20" customWidth="1"/>
    <col min="4357" max="4357" width="16.28515625" style="20" customWidth="1"/>
    <col min="4358" max="4608" width="9.140625" style="20"/>
    <col min="4609" max="4609" width="6.85546875" style="20" customWidth="1"/>
    <col min="4610" max="4610" width="39.5703125" style="20" customWidth="1"/>
    <col min="4611" max="4612" width="14.85546875" style="20" customWidth="1"/>
    <col min="4613" max="4613" width="16.28515625" style="20" customWidth="1"/>
    <col min="4614" max="4864" width="9.140625" style="20"/>
    <col min="4865" max="4865" width="6.85546875" style="20" customWidth="1"/>
    <col min="4866" max="4866" width="39.5703125" style="20" customWidth="1"/>
    <col min="4867" max="4868" width="14.85546875" style="20" customWidth="1"/>
    <col min="4869" max="4869" width="16.28515625" style="20" customWidth="1"/>
    <col min="4870" max="5120" width="9.140625" style="20"/>
    <col min="5121" max="5121" width="6.85546875" style="20" customWidth="1"/>
    <col min="5122" max="5122" width="39.5703125" style="20" customWidth="1"/>
    <col min="5123" max="5124" width="14.85546875" style="20" customWidth="1"/>
    <col min="5125" max="5125" width="16.28515625" style="20" customWidth="1"/>
    <col min="5126" max="5376" width="9.140625" style="20"/>
    <col min="5377" max="5377" width="6.85546875" style="20" customWidth="1"/>
    <col min="5378" max="5378" width="39.5703125" style="20" customWidth="1"/>
    <col min="5379" max="5380" width="14.85546875" style="20" customWidth="1"/>
    <col min="5381" max="5381" width="16.28515625" style="20" customWidth="1"/>
    <col min="5382" max="5632" width="9.140625" style="20"/>
    <col min="5633" max="5633" width="6.85546875" style="20" customWidth="1"/>
    <col min="5634" max="5634" width="39.5703125" style="20" customWidth="1"/>
    <col min="5635" max="5636" width="14.85546875" style="20" customWidth="1"/>
    <col min="5637" max="5637" width="16.28515625" style="20" customWidth="1"/>
    <col min="5638" max="5888" width="9.140625" style="20"/>
    <col min="5889" max="5889" width="6.85546875" style="20" customWidth="1"/>
    <col min="5890" max="5890" width="39.5703125" style="20" customWidth="1"/>
    <col min="5891" max="5892" width="14.85546875" style="20" customWidth="1"/>
    <col min="5893" max="5893" width="16.28515625" style="20" customWidth="1"/>
    <col min="5894" max="6144" width="9.140625" style="20"/>
    <col min="6145" max="6145" width="6.85546875" style="20" customWidth="1"/>
    <col min="6146" max="6146" width="39.5703125" style="20" customWidth="1"/>
    <col min="6147" max="6148" width="14.85546875" style="20" customWidth="1"/>
    <col min="6149" max="6149" width="16.28515625" style="20" customWidth="1"/>
    <col min="6150" max="6400" width="9.140625" style="20"/>
    <col min="6401" max="6401" width="6.85546875" style="20" customWidth="1"/>
    <col min="6402" max="6402" width="39.5703125" style="20" customWidth="1"/>
    <col min="6403" max="6404" width="14.85546875" style="20" customWidth="1"/>
    <col min="6405" max="6405" width="16.28515625" style="20" customWidth="1"/>
    <col min="6406" max="6656" width="9.140625" style="20"/>
    <col min="6657" max="6657" width="6.85546875" style="20" customWidth="1"/>
    <col min="6658" max="6658" width="39.5703125" style="20" customWidth="1"/>
    <col min="6659" max="6660" width="14.85546875" style="20" customWidth="1"/>
    <col min="6661" max="6661" width="16.28515625" style="20" customWidth="1"/>
    <col min="6662" max="6912" width="9.140625" style="20"/>
    <col min="6913" max="6913" width="6.85546875" style="20" customWidth="1"/>
    <col min="6914" max="6914" width="39.5703125" style="20" customWidth="1"/>
    <col min="6915" max="6916" width="14.85546875" style="20" customWidth="1"/>
    <col min="6917" max="6917" width="16.28515625" style="20" customWidth="1"/>
    <col min="6918" max="7168" width="9.140625" style="20"/>
    <col min="7169" max="7169" width="6.85546875" style="20" customWidth="1"/>
    <col min="7170" max="7170" width="39.5703125" style="20" customWidth="1"/>
    <col min="7171" max="7172" width="14.85546875" style="20" customWidth="1"/>
    <col min="7173" max="7173" width="16.28515625" style="20" customWidth="1"/>
    <col min="7174" max="7424" width="9.140625" style="20"/>
    <col min="7425" max="7425" width="6.85546875" style="20" customWidth="1"/>
    <col min="7426" max="7426" width="39.5703125" style="20" customWidth="1"/>
    <col min="7427" max="7428" width="14.85546875" style="20" customWidth="1"/>
    <col min="7429" max="7429" width="16.28515625" style="20" customWidth="1"/>
    <col min="7430" max="7680" width="9.140625" style="20"/>
    <col min="7681" max="7681" width="6.85546875" style="20" customWidth="1"/>
    <col min="7682" max="7682" width="39.5703125" style="20" customWidth="1"/>
    <col min="7683" max="7684" width="14.85546875" style="20" customWidth="1"/>
    <col min="7685" max="7685" width="16.28515625" style="20" customWidth="1"/>
    <col min="7686" max="7936" width="9.140625" style="20"/>
    <col min="7937" max="7937" width="6.85546875" style="20" customWidth="1"/>
    <col min="7938" max="7938" width="39.5703125" style="20" customWidth="1"/>
    <col min="7939" max="7940" width="14.85546875" style="20" customWidth="1"/>
    <col min="7941" max="7941" width="16.28515625" style="20" customWidth="1"/>
    <col min="7942" max="8192" width="9.140625" style="20"/>
    <col min="8193" max="8193" width="6.85546875" style="20" customWidth="1"/>
    <col min="8194" max="8194" width="39.5703125" style="20" customWidth="1"/>
    <col min="8195" max="8196" width="14.85546875" style="20" customWidth="1"/>
    <col min="8197" max="8197" width="16.28515625" style="20" customWidth="1"/>
    <col min="8198" max="8448" width="9.140625" style="20"/>
    <col min="8449" max="8449" width="6.85546875" style="20" customWidth="1"/>
    <col min="8450" max="8450" width="39.5703125" style="20" customWidth="1"/>
    <col min="8451" max="8452" width="14.85546875" style="20" customWidth="1"/>
    <col min="8453" max="8453" width="16.28515625" style="20" customWidth="1"/>
    <col min="8454" max="8704" width="9.140625" style="20"/>
    <col min="8705" max="8705" width="6.85546875" style="20" customWidth="1"/>
    <col min="8706" max="8706" width="39.5703125" style="20" customWidth="1"/>
    <col min="8707" max="8708" width="14.85546875" style="20" customWidth="1"/>
    <col min="8709" max="8709" width="16.28515625" style="20" customWidth="1"/>
    <col min="8710" max="8960" width="9.140625" style="20"/>
    <col min="8961" max="8961" width="6.85546875" style="20" customWidth="1"/>
    <col min="8962" max="8962" width="39.5703125" style="20" customWidth="1"/>
    <col min="8963" max="8964" width="14.85546875" style="20" customWidth="1"/>
    <col min="8965" max="8965" width="16.28515625" style="20" customWidth="1"/>
    <col min="8966" max="9216" width="9.140625" style="20"/>
    <col min="9217" max="9217" width="6.85546875" style="20" customWidth="1"/>
    <col min="9218" max="9218" width="39.5703125" style="20" customWidth="1"/>
    <col min="9219" max="9220" width="14.85546875" style="20" customWidth="1"/>
    <col min="9221" max="9221" width="16.28515625" style="20" customWidth="1"/>
    <col min="9222" max="9472" width="9.140625" style="20"/>
    <col min="9473" max="9473" width="6.85546875" style="20" customWidth="1"/>
    <col min="9474" max="9474" width="39.5703125" style="20" customWidth="1"/>
    <col min="9475" max="9476" width="14.85546875" style="20" customWidth="1"/>
    <col min="9477" max="9477" width="16.28515625" style="20" customWidth="1"/>
    <col min="9478" max="9728" width="9.140625" style="20"/>
    <col min="9729" max="9729" width="6.85546875" style="20" customWidth="1"/>
    <col min="9730" max="9730" width="39.5703125" style="20" customWidth="1"/>
    <col min="9731" max="9732" width="14.85546875" style="20" customWidth="1"/>
    <col min="9733" max="9733" width="16.28515625" style="20" customWidth="1"/>
    <col min="9734" max="9984" width="9.140625" style="20"/>
    <col min="9985" max="9985" width="6.85546875" style="20" customWidth="1"/>
    <col min="9986" max="9986" width="39.5703125" style="20" customWidth="1"/>
    <col min="9987" max="9988" width="14.85546875" style="20" customWidth="1"/>
    <col min="9989" max="9989" width="16.28515625" style="20" customWidth="1"/>
    <col min="9990" max="10240" width="9.140625" style="20"/>
    <col min="10241" max="10241" width="6.85546875" style="20" customWidth="1"/>
    <col min="10242" max="10242" width="39.5703125" style="20" customWidth="1"/>
    <col min="10243" max="10244" width="14.85546875" style="20" customWidth="1"/>
    <col min="10245" max="10245" width="16.28515625" style="20" customWidth="1"/>
    <col min="10246" max="10496" width="9.140625" style="20"/>
    <col min="10497" max="10497" width="6.85546875" style="20" customWidth="1"/>
    <col min="10498" max="10498" width="39.5703125" style="20" customWidth="1"/>
    <col min="10499" max="10500" width="14.85546875" style="20" customWidth="1"/>
    <col min="10501" max="10501" width="16.28515625" style="20" customWidth="1"/>
    <col min="10502" max="10752" width="9.140625" style="20"/>
    <col min="10753" max="10753" width="6.85546875" style="20" customWidth="1"/>
    <col min="10754" max="10754" width="39.5703125" style="20" customWidth="1"/>
    <col min="10755" max="10756" width="14.85546875" style="20" customWidth="1"/>
    <col min="10757" max="10757" width="16.28515625" style="20" customWidth="1"/>
    <col min="10758" max="11008" width="9.140625" style="20"/>
    <col min="11009" max="11009" width="6.85546875" style="20" customWidth="1"/>
    <col min="11010" max="11010" width="39.5703125" style="20" customWidth="1"/>
    <col min="11011" max="11012" width="14.85546875" style="20" customWidth="1"/>
    <col min="11013" max="11013" width="16.28515625" style="20" customWidth="1"/>
    <col min="11014" max="11264" width="9.140625" style="20"/>
    <col min="11265" max="11265" width="6.85546875" style="20" customWidth="1"/>
    <col min="11266" max="11266" width="39.5703125" style="20" customWidth="1"/>
    <col min="11267" max="11268" width="14.85546875" style="20" customWidth="1"/>
    <col min="11269" max="11269" width="16.28515625" style="20" customWidth="1"/>
    <col min="11270" max="11520" width="9.140625" style="20"/>
    <col min="11521" max="11521" width="6.85546875" style="20" customWidth="1"/>
    <col min="11522" max="11522" width="39.5703125" style="20" customWidth="1"/>
    <col min="11523" max="11524" width="14.85546875" style="20" customWidth="1"/>
    <col min="11525" max="11525" width="16.28515625" style="20" customWidth="1"/>
    <col min="11526" max="11776" width="9.140625" style="20"/>
    <col min="11777" max="11777" width="6.85546875" style="20" customWidth="1"/>
    <col min="11778" max="11778" width="39.5703125" style="20" customWidth="1"/>
    <col min="11779" max="11780" width="14.85546875" style="20" customWidth="1"/>
    <col min="11781" max="11781" width="16.28515625" style="20" customWidth="1"/>
    <col min="11782" max="12032" width="9.140625" style="20"/>
    <col min="12033" max="12033" width="6.85546875" style="20" customWidth="1"/>
    <col min="12034" max="12034" width="39.5703125" style="20" customWidth="1"/>
    <col min="12035" max="12036" width="14.85546875" style="20" customWidth="1"/>
    <col min="12037" max="12037" width="16.28515625" style="20" customWidth="1"/>
    <col min="12038" max="12288" width="9.140625" style="20"/>
    <col min="12289" max="12289" width="6.85546875" style="20" customWidth="1"/>
    <col min="12290" max="12290" width="39.5703125" style="20" customWidth="1"/>
    <col min="12291" max="12292" width="14.85546875" style="20" customWidth="1"/>
    <col min="12293" max="12293" width="16.28515625" style="20" customWidth="1"/>
    <col min="12294" max="12544" width="9.140625" style="20"/>
    <col min="12545" max="12545" width="6.85546875" style="20" customWidth="1"/>
    <col min="12546" max="12546" width="39.5703125" style="20" customWidth="1"/>
    <col min="12547" max="12548" width="14.85546875" style="20" customWidth="1"/>
    <col min="12549" max="12549" width="16.28515625" style="20" customWidth="1"/>
    <col min="12550" max="12800" width="9.140625" style="20"/>
    <col min="12801" max="12801" width="6.85546875" style="20" customWidth="1"/>
    <col min="12802" max="12802" width="39.5703125" style="20" customWidth="1"/>
    <col min="12803" max="12804" width="14.85546875" style="20" customWidth="1"/>
    <col min="12805" max="12805" width="16.28515625" style="20" customWidth="1"/>
    <col min="12806" max="13056" width="9.140625" style="20"/>
    <col min="13057" max="13057" width="6.85546875" style="20" customWidth="1"/>
    <col min="13058" max="13058" width="39.5703125" style="20" customWidth="1"/>
    <col min="13059" max="13060" width="14.85546875" style="20" customWidth="1"/>
    <col min="13061" max="13061" width="16.28515625" style="20" customWidth="1"/>
    <col min="13062" max="13312" width="9.140625" style="20"/>
    <col min="13313" max="13313" width="6.85546875" style="20" customWidth="1"/>
    <col min="13314" max="13314" width="39.5703125" style="20" customWidth="1"/>
    <col min="13315" max="13316" width="14.85546875" style="20" customWidth="1"/>
    <col min="13317" max="13317" width="16.28515625" style="20" customWidth="1"/>
    <col min="13318" max="13568" width="9.140625" style="20"/>
    <col min="13569" max="13569" width="6.85546875" style="20" customWidth="1"/>
    <col min="13570" max="13570" width="39.5703125" style="20" customWidth="1"/>
    <col min="13571" max="13572" width="14.85546875" style="20" customWidth="1"/>
    <col min="13573" max="13573" width="16.28515625" style="20" customWidth="1"/>
    <col min="13574" max="13824" width="9.140625" style="20"/>
    <col min="13825" max="13825" width="6.85546875" style="20" customWidth="1"/>
    <col min="13826" max="13826" width="39.5703125" style="20" customWidth="1"/>
    <col min="13827" max="13828" width="14.85546875" style="20" customWidth="1"/>
    <col min="13829" max="13829" width="16.28515625" style="20" customWidth="1"/>
    <col min="13830" max="14080" width="9.140625" style="20"/>
    <col min="14081" max="14081" width="6.85546875" style="20" customWidth="1"/>
    <col min="14082" max="14082" width="39.5703125" style="20" customWidth="1"/>
    <col min="14083" max="14084" width="14.85546875" style="20" customWidth="1"/>
    <col min="14085" max="14085" width="16.28515625" style="20" customWidth="1"/>
    <col min="14086" max="14336" width="9.140625" style="20"/>
    <col min="14337" max="14337" width="6.85546875" style="20" customWidth="1"/>
    <col min="14338" max="14338" width="39.5703125" style="20" customWidth="1"/>
    <col min="14339" max="14340" width="14.85546875" style="20" customWidth="1"/>
    <col min="14341" max="14341" width="16.28515625" style="20" customWidth="1"/>
    <col min="14342" max="14592" width="9.140625" style="20"/>
    <col min="14593" max="14593" width="6.85546875" style="20" customWidth="1"/>
    <col min="14594" max="14594" width="39.5703125" style="20" customWidth="1"/>
    <col min="14595" max="14596" width="14.85546875" style="20" customWidth="1"/>
    <col min="14597" max="14597" width="16.28515625" style="20" customWidth="1"/>
    <col min="14598" max="14848" width="9.140625" style="20"/>
    <col min="14849" max="14849" width="6.85546875" style="20" customWidth="1"/>
    <col min="14850" max="14850" width="39.5703125" style="20" customWidth="1"/>
    <col min="14851" max="14852" width="14.85546875" style="20" customWidth="1"/>
    <col min="14853" max="14853" width="16.28515625" style="20" customWidth="1"/>
    <col min="14854" max="15104" width="9.140625" style="20"/>
    <col min="15105" max="15105" width="6.85546875" style="20" customWidth="1"/>
    <col min="15106" max="15106" width="39.5703125" style="20" customWidth="1"/>
    <col min="15107" max="15108" width="14.85546875" style="20" customWidth="1"/>
    <col min="15109" max="15109" width="16.28515625" style="20" customWidth="1"/>
    <col min="15110" max="15360" width="9.140625" style="20"/>
    <col min="15361" max="15361" width="6.85546875" style="20" customWidth="1"/>
    <col min="15362" max="15362" width="39.5703125" style="20" customWidth="1"/>
    <col min="15363" max="15364" width="14.85546875" style="20" customWidth="1"/>
    <col min="15365" max="15365" width="16.28515625" style="20" customWidth="1"/>
    <col min="15366" max="15616" width="9.140625" style="20"/>
    <col min="15617" max="15617" width="6.85546875" style="20" customWidth="1"/>
    <col min="15618" max="15618" width="39.5703125" style="20" customWidth="1"/>
    <col min="15619" max="15620" width="14.85546875" style="20" customWidth="1"/>
    <col min="15621" max="15621" width="16.28515625" style="20" customWidth="1"/>
    <col min="15622" max="15872" width="9.140625" style="20"/>
    <col min="15873" max="15873" width="6.85546875" style="20" customWidth="1"/>
    <col min="15874" max="15874" width="39.5703125" style="20" customWidth="1"/>
    <col min="15875" max="15876" width="14.85546875" style="20" customWidth="1"/>
    <col min="15877" max="15877" width="16.28515625" style="20" customWidth="1"/>
    <col min="15878" max="16128" width="9.140625" style="20"/>
    <col min="16129" max="16129" width="6.85546875" style="20" customWidth="1"/>
    <col min="16130" max="16130" width="39.5703125" style="20" customWidth="1"/>
    <col min="16131" max="16132" width="14.85546875" style="20" customWidth="1"/>
    <col min="16133" max="16133" width="16.28515625" style="20" customWidth="1"/>
    <col min="16134" max="16384" width="9.140625" style="20"/>
  </cols>
  <sheetData>
    <row r="1" spans="1:5" x14ac:dyDescent="0.25">
      <c r="B1" s="21"/>
      <c r="C1" s="21"/>
      <c r="D1" s="2"/>
      <c r="E1" s="42" t="s">
        <v>621</v>
      </c>
    </row>
    <row r="2" spans="1:5" x14ac:dyDescent="0.25">
      <c r="B2" s="21"/>
      <c r="C2" s="21"/>
      <c r="D2" s="2"/>
      <c r="E2" s="2" t="s">
        <v>127</v>
      </c>
    </row>
    <row r="3" spans="1:5" x14ac:dyDescent="0.25">
      <c r="B3" s="489" t="s">
        <v>287</v>
      </c>
      <c r="C3" s="489"/>
      <c r="D3" s="489"/>
      <c r="E3" s="489"/>
    </row>
    <row r="4" spans="1:5" x14ac:dyDescent="0.25">
      <c r="B4" s="21"/>
      <c r="C4" s="21"/>
      <c r="D4" s="2"/>
      <c r="E4" s="2" t="s">
        <v>168</v>
      </c>
    </row>
    <row r="5" spans="1:5" x14ac:dyDescent="0.25">
      <c r="B5" s="21"/>
      <c r="C5" s="21"/>
      <c r="D5" s="2"/>
      <c r="E5" s="53" t="s">
        <v>533</v>
      </c>
    </row>
    <row r="6" spans="1:5" ht="14.25" customHeight="1" x14ac:dyDescent="0.25">
      <c r="C6" s="2"/>
    </row>
    <row r="7" spans="1:5" ht="14.25" customHeight="1" x14ac:dyDescent="0.25">
      <c r="B7" s="532" t="s">
        <v>149</v>
      </c>
      <c r="C7" s="532"/>
      <c r="D7" s="532"/>
      <c r="E7" s="532"/>
    </row>
    <row r="8" spans="1:5" ht="111.75" customHeight="1" x14ac:dyDescent="0.25">
      <c r="A8" s="26"/>
      <c r="B8" s="487" t="s">
        <v>613</v>
      </c>
      <c r="C8" s="487"/>
      <c r="D8" s="487"/>
      <c r="E8" s="487"/>
    </row>
    <row r="9" spans="1:5" ht="14.25" customHeight="1" x14ac:dyDescent="0.25">
      <c r="C9" s="2"/>
    </row>
    <row r="10" spans="1:5" ht="18.75" customHeight="1" x14ac:dyDescent="0.25">
      <c r="C10" s="22"/>
      <c r="D10" s="22"/>
      <c r="E10" s="23" t="s">
        <v>114</v>
      </c>
    </row>
    <row r="11" spans="1:5" ht="22.5" customHeight="1" x14ac:dyDescent="0.25">
      <c r="A11" s="24" t="s">
        <v>274</v>
      </c>
      <c r="B11" s="24" t="s">
        <v>277</v>
      </c>
      <c r="C11" s="24" t="s">
        <v>166</v>
      </c>
      <c r="D11" s="94" t="s">
        <v>603</v>
      </c>
      <c r="E11" s="94" t="s">
        <v>593</v>
      </c>
    </row>
    <row r="12" spans="1:5" ht="16.5" customHeight="1" x14ac:dyDescent="0.25">
      <c r="A12" s="27" t="s">
        <v>275</v>
      </c>
      <c r="B12" s="28" t="s">
        <v>278</v>
      </c>
      <c r="C12" s="29">
        <v>282.42059999999998</v>
      </c>
      <c r="D12" s="211">
        <v>81.96114</v>
      </c>
      <c r="E12" s="206">
        <f t="shared" ref="E12:E17" si="0">D12/C12*100</f>
        <v>29.020949604950918</v>
      </c>
    </row>
    <row r="13" spans="1:5" s="16" customFormat="1" ht="16.5" customHeight="1" x14ac:dyDescent="0.25">
      <c r="A13" s="30" t="s">
        <v>128</v>
      </c>
      <c r="B13" s="31" t="s">
        <v>279</v>
      </c>
      <c r="C13" s="29">
        <v>66.493350000000007</v>
      </c>
      <c r="D13" s="211">
        <v>16.9892</v>
      </c>
      <c r="E13" s="206">
        <f t="shared" si="0"/>
        <v>25.550224195351863</v>
      </c>
    </row>
    <row r="14" spans="1:5" s="16" customFormat="1" ht="27.75" customHeight="1" x14ac:dyDescent="0.25">
      <c r="A14" s="30" t="s">
        <v>280</v>
      </c>
      <c r="B14" s="32" t="s">
        <v>281</v>
      </c>
      <c r="C14" s="29">
        <v>61.518039999999999</v>
      </c>
      <c r="D14" s="211">
        <v>27.508990000000001</v>
      </c>
      <c r="E14" s="206">
        <f t="shared" si="0"/>
        <v>44.71694806921677</v>
      </c>
    </row>
    <row r="15" spans="1:5" s="16" customFormat="1" x14ac:dyDescent="0.25">
      <c r="A15" s="30" t="s">
        <v>282</v>
      </c>
      <c r="B15" s="32" t="s">
        <v>283</v>
      </c>
      <c r="C15" s="29">
        <v>51.71705</v>
      </c>
      <c r="D15" s="211">
        <v>0</v>
      </c>
      <c r="E15" s="206">
        <f t="shared" si="0"/>
        <v>0</v>
      </c>
    </row>
    <row r="16" spans="1:5" ht="18.75" customHeight="1" x14ac:dyDescent="0.25">
      <c r="A16" s="30" t="s">
        <v>284</v>
      </c>
      <c r="B16" s="32" t="s">
        <v>285</v>
      </c>
      <c r="C16" s="33">
        <v>132.98670000000001</v>
      </c>
      <c r="D16" s="211">
        <v>52.386600000000001</v>
      </c>
      <c r="E16" s="206">
        <f t="shared" si="0"/>
        <v>39.392360288660441</v>
      </c>
    </row>
    <row r="17" spans="1:5" s="37" customFormat="1" ht="18.75" customHeight="1" x14ac:dyDescent="0.25">
      <c r="A17" s="34"/>
      <c r="B17" s="35" t="s">
        <v>286</v>
      </c>
      <c r="C17" s="36">
        <f>SUM(C12:C16)</f>
        <v>595.13574000000006</v>
      </c>
      <c r="D17" s="36">
        <f>SUM(D12:D16)</f>
        <v>178.84593000000001</v>
      </c>
      <c r="E17" s="206">
        <f t="shared" si="0"/>
        <v>30.051283762591709</v>
      </c>
    </row>
    <row r="20" spans="1:5" x14ac:dyDescent="0.25">
      <c r="C20" s="25"/>
      <c r="D20" s="25">
        <f>'11'!AG653</f>
        <v>178.84593000000001</v>
      </c>
      <c r="E20" s="25"/>
    </row>
    <row r="21" spans="1:5" x14ac:dyDescent="0.25">
      <c r="D21" s="210">
        <f>D17-D20</f>
        <v>0</v>
      </c>
    </row>
  </sheetData>
  <mergeCells count="3">
    <mergeCell ref="B3:E3"/>
    <mergeCell ref="B7:E7"/>
    <mergeCell ref="B8:E8"/>
  </mergeCells>
  <printOptions horizontalCentered="1"/>
  <pageMargins left="0.59" right="0.15748031496062992" top="0.98425196850393704" bottom="0.98425196850393704" header="0.51181102362204722" footer="0.51181102362204722"/>
  <pageSetup paperSize="9" scale="92" orientation="portrait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1:E19"/>
  <sheetViews>
    <sheetView view="pageBreakPreview" workbookViewId="0">
      <selection activeCell="E2" sqref="E2"/>
    </sheetView>
  </sheetViews>
  <sheetFormatPr defaultRowHeight="15.75" x14ac:dyDescent="0.25"/>
  <cols>
    <col min="1" max="1" width="6.85546875" style="20" customWidth="1"/>
    <col min="2" max="2" width="39.5703125" style="20" customWidth="1"/>
    <col min="3" max="4" width="14.85546875" style="20" customWidth="1"/>
    <col min="5" max="5" width="16.28515625" style="20" customWidth="1"/>
    <col min="6" max="256" width="9.140625" style="20"/>
    <col min="257" max="257" width="6.85546875" style="20" customWidth="1"/>
    <col min="258" max="258" width="39.5703125" style="20" customWidth="1"/>
    <col min="259" max="260" width="14.85546875" style="20" customWidth="1"/>
    <col min="261" max="261" width="16.28515625" style="20" customWidth="1"/>
    <col min="262" max="512" width="9.140625" style="20"/>
    <col min="513" max="513" width="6.85546875" style="20" customWidth="1"/>
    <col min="514" max="514" width="39.5703125" style="20" customWidth="1"/>
    <col min="515" max="516" width="14.85546875" style="20" customWidth="1"/>
    <col min="517" max="517" width="16.28515625" style="20" customWidth="1"/>
    <col min="518" max="768" width="9.140625" style="20"/>
    <col min="769" max="769" width="6.85546875" style="20" customWidth="1"/>
    <col min="770" max="770" width="39.5703125" style="20" customWidth="1"/>
    <col min="771" max="772" width="14.85546875" style="20" customWidth="1"/>
    <col min="773" max="773" width="16.28515625" style="20" customWidth="1"/>
    <col min="774" max="1024" width="9.140625" style="20"/>
    <col min="1025" max="1025" width="6.85546875" style="20" customWidth="1"/>
    <col min="1026" max="1026" width="39.5703125" style="20" customWidth="1"/>
    <col min="1027" max="1028" width="14.85546875" style="20" customWidth="1"/>
    <col min="1029" max="1029" width="16.28515625" style="20" customWidth="1"/>
    <col min="1030" max="1280" width="9.140625" style="20"/>
    <col min="1281" max="1281" width="6.85546875" style="20" customWidth="1"/>
    <col min="1282" max="1282" width="39.5703125" style="20" customWidth="1"/>
    <col min="1283" max="1284" width="14.85546875" style="20" customWidth="1"/>
    <col min="1285" max="1285" width="16.28515625" style="20" customWidth="1"/>
    <col min="1286" max="1536" width="9.140625" style="20"/>
    <col min="1537" max="1537" width="6.85546875" style="20" customWidth="1"/>
    <col min="1538" max="1538" width="39.5703125" style="20" customWidth="1"/>
    <col min="1539" max="1540" width="14.85546875" style="20" customWidth="1"/>
    <col min="1541" max="1541" width="16.28515625" style="20" customWidth="1"/>
    <col min="1542" max="1792" width="9.140625" style="20"/>
    <col min="1793" max="1793" width="6.85546875" style="20" customWidth="1"/>
    <col min="1794" max="1794" width="39.5703125" style="20" customWidth="1"/>
    <col min="1795" max="1796" width="14.85546875" style="20" customWidth="1"/>
    <col min="1797" max="1797" width="16.28515625" style="20" customWidth="1"/>
    <col min="1798" max="2048" width="9.140625" style="20"/>
    <col min="2049" max="2049" width="6.85546875" style="20" customWidth="1"/>
    <col min="2050" max="2050" width="39.5703125" style="20" customWidth="1"/>
    <col min="2051" max="2052" width="14.85546875" style="20" customWidth="1"/>
    <col min="2053" max="2053" width="16.28515625" style="20" customWidth="1"/>
    <col min="2054" max="2304" width="9.140625" style="20"/>
    <col min="2305" max="2305" width="6.85546875" style="20" customWidth="1"/>
    <col min="2306" max="2306" width="39.5703125" style="20" customWidth="1"/>
    <col min="2307" max="2308" width="14.85546875" style="20" customWidth="1"/>
    <col min="2309" max="2309" width="16.28515625" style="20" customWidth="1"/>
    <col min="2310" max="2560" width="9.140625" style="20"/>
    <col min="2561" max="2561" width="6.85546875" style="20" customWidth="1"/>
    <col min="2562" max="2562" width="39.5703125" style="20" customWidth="1"/>
    <col min="2563" max="2564" width="14.85546875" style="20" customWidth="1"/>
    <col min="2565" max="2565" width="16.28515625" style="20" customWidth="1"/>
    <col min="2566" max="2816" width="9.140625" style="20"/>
    <col min="2817" max="2817" width="6.85546875" style="20" customWidth="1"/>
    <col min="2818" max="2818" width="39.5703125" style="20" customWidth="1"/>
    <col min="2819" max="2820" width="14.85546875" style="20" customWidth="1"/>
    <col min="2821" max="2821" width="16.28515625" style="20" customWidth="1"/>
    <col min="2822" max="3072" width="9.140625" style="20"/>
    <col min="3073" max="3073" width="6.85546875" style="20" customWidth="1"/>
    <col min="3074" max="3074" width="39.5703125" style="20" customWidth="1"/>
    <col min="3075" max="3076" width="14.85546875" style="20" customWidth="1"/>
    <col min="3077" max="3077" width="16.28515625" style="20" customWidth="1"/>
    <col min="3078" max="3328" width="9.140625" style="20"/>
    <col min="3329" max="3329" width="6.85546875" style="20" customWidth="1"/>
    <col min="3330" max="3330" width="39.5703125" style="20" customWidth="1"/>
    <col min="3331" max="3332" width="14.85546875" style="20" customWidth="1"/>
    <col min="3333" max="3333" width="16.28515625" style="20" customWidth="1"/>
    <col min="3334" max="3584" width="9.140625" style="20"/>
    <col min="3585" max="3585" width="6.85546875" style="20" customWidth="1"/>
    <col min="3586" max="3586" width="39.5703125" style="20" customWidth="1"/>
    <col min="3587" max="3588" width="14.85546875" style="20" customWidth="1"/>
    <col min="3589" max="3589" width="16.28515625" style="20" customWidth="1"/>
    <col min="3590" max="3840" width="9.140625" style="20"/>
    <col min="3841" max="3841" width="6.85546875" style="20" customWidth="1"/>
    <col min="3842" max="3842" width="39.5703125" style="20" customWidth="1"/>
    <col min="3843" max="3844" width="14.85546875" style="20" customWidth="1"/>
    <col min="3845" max="3845" width="16.28515625" style="20" customWidth="1"/>
    <col min="3846" max="4096" width="9.140625" style="20"/>
    <col min="4097" max="4097" width="6.85546875" style="20" customWidth="1"/>
    <col min="4098" max="4098" width="39.5703125" style="20" customWidth="1"/>
    <col min="4099" max="4100" width="14.85546875" style="20" customWidth="1"/>
    <col min="4101" max="4101" width="16.28515625" style="20" customWidth="1"/>
    <col min="4102" max="4352" width="9.140625" style="20"/>
    <col min="4353" max="4353" width="6.85546875" style="20" customWidth="1"/>
    <col min="4354" max="4354" width="39.5703125" style="20" customWidth="1"/>
    <col min="4355" max="4356" width="14.85546875" style="20" customWidth="1"/>
    <col min="4357" max="4357" width="16.28515625" style="20" customWidth="1"/>
    <col min="4358" max="4608" width="9.140625" style="20"/>
    <col min="4609" max="4609" width="6.85546875" style="20" customWidth="1"/>
    <col min="4610" max="4610" width="39.5703125" style="20" customWidth="1"/>
    <col min="4611" max="4612" width="14.85546875" style="20" customWidth="1"/>
    <col min="4613" max="4613" width="16.28515625" style="20" customWidth="1"/>
    <col min="4614" max="4864" width="9.140625" style="20"/>
    <col min="4865" max="4865" width="6.85546875" style="20" customWidth="1"/>
    <col min="4866" max="4866" width="39.5703125" style="20" customWidth="1"/>
    <col min="4867" max="4868" width="14.85546875" style="20" customWidth="1"/>
    <col min="4869" max="4869" width="16.28515625" style="20" customWidth="1"/>
    <col min="4870" max="5120" width="9.140625" style="20"/>
    <col min="5121" max="5121" width="6.85546875" style="20" customWidth="1"/>
    <col min="5122" max="5122" width="39.5703125" style="20" customWidth="1"/>
    <col min="5123" max="5124" width="14.85546875" style="20" customWidth="1"/>
    <col min="5125" max="5125" width="16.28515625" style="20" customWidth="1"/>
    <col min="5126" max="5376" width="9.140625" style="20"/>
    <col min="5377" max="5377" width="6.85546875" style="20" customWidth="1"/>
    <col min="5378" max="5378" width="39.5703125" style="20" customWidth="1"/>
    <col min="5379" max="5380" width="14.85546875" style="20" customWidth="1"/>
    <col min="5381" max="5381" width="16.28515625" style="20" customWidth="1"/>
    <col min="5382" max="5632" width="9.140625" style="20"/>
    <col min="5633" max="5633" width="6.85546875" style="20" customWidth="1"/>
    <col min="5634" max="5634" width="39.5703125" style="20" customWidth="1"/>
    <col min="5635" max="5636" width="14.85546875" style="20" customWidth="1"/>
    <col min="5637" max="5637" width="16.28515625" style="20" customWidth="1"/>
    <col min="5638" max="5888" width="9.140625" style="20"/>
    <col min="5889" max="5889" width="6.85546875" style="20" customWidth="1"/>
    <col min="5890" max="5890" width="39.5703125" style="20" customWidth="1"/>
    <col min="5891" max="5892" width="14.85546875" style="20" customWidth="1"/>
    <col min="5893" max="5893" width="16.28515625" style="20" customWidth="1"/>
    <col min="5894" max="6144" width="9.140625" style="20"/>
    <col min="6145" max="6145" width="6.85546875" style="20" customWidth="1"/>
    <col min="6146" max="6146" width="39.5703125" style="20" customWidth="1"/>
    <col min="6147" max="6148" width="14.85546875" style="20" customWidth="1"/>
    <col min="6149" max="6149" width="16.28515625" style="20" customWidth="1"/>
    <col min="6150" max="6400" width="9.140625" style="20"/>
    <col min="6401" max="6401" width="6.85546875" style="20" customWidth="1"/>
    <col min="6402" max="6402" width="39.5703125" style="20" customWidth="1"/>
    <col min="6403" max="6404" width="14.85546875" style="20" customWidth="1"/>
    <col min="6405" max="6405" width="16.28515625" style="20" customWidth="1"/>
    <col min="6406" max="6656" width="9.140625" style="20"/>
    <col min="6657" max="6657" width="6.85546875" style="20" customWidth="1"/>
    <col min="6658" max="6658" width="39.5703125" style="20" customWidth="1"/>
    <col min="6659" max="6660" width="14.85546875" style="20" customWidth="1"/>
    <col min="6661" max="6661" width="16.28515625" style="20" customWidth="1"/>
    <col min="6662" max="6912" width="9.140625" style="20"/>
    <col min="6913" max="6913" width="6.85546875" style="20" customWidth="1"/>
    <col min="6914" max="6914" width="39.5703125" style="20" customWidth="1"/>
    <col min="6915" max="6916" width="14.85546875" style="20" customWidth="1"/>
    <col min="6917" max="6917" width="16.28515625" style="20" customWidth="1"/>
    <col min="6918" max="7168" width="9.140625" style="20"/>
    <col min="7169" max="7169" width="6.85546875" style="20" customWidth="1"/>
    <col min="7170" max="7170" width="39.5703125" style="20" customWidth="1"/>
    <col min="7171" max="7172" width="14.85546875" style="20" customWidth="1"/>
    <col min="7173" max="7173" width="16.28515625" style="20" customWidth="1"/>
    <col min="7174" max="7424" width="9.140625" style="20"/>
    <col min="7425" max="7425" width="6.85546875" style="20" customWidth="1"/>
    <col min="7426" max="7426" width="39.5703125" style="20" customWidth="1"/>
    <col min="7427" max="7428" width="14.85546875" style="20" customWidth="1"/>
    <col min="7429" max="7429" width="16.28515625" style="20" customWidth="1"/>
    <col min="7430" max="7680" width="9.140625" style="20"/>
    <col min="7681" max="7681" width="6.85546875" style="20" customWidth="1"/>
    <col min="7682" max="7682" width="39.5703125" style="20" customWidth="1"/>
    <col min="7683" max="7684" width="14.85546875" style="20" customWidth="1"/>
    <col min="7685" max="7685" width="16.28515625" style="20" customWidth="1"/>
    <col min="7686" max="7936" width="9.140625" style="20"/>
    <col min="7937" max="7937" width="6.85546875" style="20" customWidth="1"/>
    <col min="7938" max="7938" width="39.5703125" style="20" customWidth="1"/>
    <col min="7939" max="7940" width="14.85546875" style="20" customWidth="1"/>
    <col min="7941" max="7941" width="16.28515625" style="20" customWidth="1"/>
    <col min="7942" max="8192" width="9.140625" style="20"/>
    <col min="8193" max="8193" width="6.85546875" style="20" customWidth="1"/>
    <col min="8194" max="8194" width="39.5703125" style="20" customWidth="1"/>
    <col min="8195" max="8196" width="14.85546875" style="20" customWidth="1"/>
    <col min="8197" max="8197" width="16.28515625" style="20" customWidth="1"/>
    <col min="8198" max="8448" width="9.140625" style="20"/>
    <col min="8449" max="8449" width="6.85546875" style="20" customWidth="1"/>
    <col min="8450" max="8450" width="39.5703125" style="20" customWidth="1"/>
    <col min="8451" max="8452" width="14.85546875" style="20" customWidth="1"/>
    <col min="8453" max="8453" width="16.28515625" style="20" customWidth="1"/>
    <col min="8454" max="8704" width="9.140625" style="20"/>
    <col min="8705" max="8705" width="6.85546875" style="20" customWidth="1"/>
    <col min="8706" max="8706" width="39.5703125" style="20" customWidth="1"/>
    <col min="8707" max="8708" width="14.85546875" style="20" customWidth="1"/>
    <col min="8709" max="8709" width="16.28515625" style="20" customWidth="1"/>
    <col min="8710" max="8960" width="9.140625" style="20"/>
    <col min="8961" max="8961" width="6.85546875" style="20" customWidth="1"/>
    <col min="8962" max="8962" width="39.5703125" style="20" customWidth="1"/>
    <col min="8963" max="8964" width="14.85546875" style="20" customWidth="1"/>
    <col min="8965" max="8965" width="16.28515625" style="20" customWidth="1"/>
    <col min="8966" max="9216" width="9.140625" style="20"/>
    <col min="9217" max="9217" width="6.85546875" style="20" customWidth="1"/>
    <col min="9218" max="9218" width="39.5703125" style="20" customWidth="1"/>
    <col min="9219" max="9220" width="14.85546875" style="20" customWidth="1"/>
    <col min="9221" max="9221" width="16.28515625" style="20" customWidth="1"/>
    <col min="9222" max="9472" width="9.140625" style="20"/>
    <col min="9473" max="9473" width="6.85546875" style="20" customWidth="1"/>
    <col min="9474" max="9474" width="39.5703125" style="20" customWidth="1"/>
    <col min="9475" max="9476" width="14.85546875" style="20" customWidth="1"/>
    <col min="9477" max="9477" width="16.28515625" style="20" customWidth="1"/>
    <col min="9478" max="9728" width="9.140625" style="20"/>
    <col min="9729" max="9729" width="6.85546875" style="20" customWidth="1"/>
    <col min="9730" max="9730" width="39.5703125" style="20" customWidth="1"/>
    <col min="9731" max="9732" width="14.85546875" style="20" customWidth="1"/>
    <col min="9733" max="9733" width="16.28515625" style="20" customWidth="1"/>
    <col min="9734" max="9984" width="9.140625" style="20"/>
    <col min="9985" max="9985" width="6.85546875" style="20" customWidth="1"/>
    <col min="9986" max="9986" width="39.5703125" style="20" customWidth="1"/>
    <col min="9987" max="9988" width="14.85546875" style="20" customWidth="1"/>
    <col min="9989" max="9989" width="16.28515625" style="20" customWidth="1"/>
    <col min="9990" max="10240" width="9.140625" style="20"/>
    <col min="10241" max="10241" width="6.85546875" style="20" customWidth="1"/>
    <col min="10242" max="10242" width="39.5703125" style="20" customWidth="1"/>
    <col min="10243" max="10244" width="14.85546875" style="20" customWidth="1"/>
    <col min="10245" max="10245" width="16.28515625" style="20" customWidth="1"/>
    <col min="10246" max="10496" width="9.140625" style="20"/>
    <col min="10497" max="10497" width="6.85546875" style="20" customWidth="1"/>
    <col min="10498" max="10498" width="39.5703125" style="20" customWidth="1"/>
    <col min="10499" max="10500" width="14.85546875" style="20" customWidth="1"/>
    <col min="10501" max="10501" width="16.28515625" style="20" customWidth="1"/>
    <col min="10502" max="10752" width="9.140625" style="20"/>
    <col min="10753" max="10753" width="6.85546875" style="20" customWidth="1"/>
    <col min="10754" max="10754" width="39.5703125" style="20" customWidth="1"/>
    <col min="10755" max="10756" width="14.85546875" style="20" customWidth="1"/>
    <col min="10757" max="10757" width="16.28515625" style="20" customWidth="1"/>
    <col min="10758" max="11008" width="9.140625" style="20"/>
    <col min="11009" max="11009" width="6.85546875" style="20" customWidth="1"/>
    <col min="11010" max="11010" width="39.5703125" style="20" customWidth="1"/>
    <col min="11011" max="11012" width="14.85546875" style="20" customWidth="1"/>
    <col min="11013" max="11013" width="16.28515625" style="20" customWidth="1"/>
    <col min="11014" max="11264" width="9.140625" style="20"/>
    <col min="11265" max="11265" width="6.85546875" style="20" customWidth="1"/>
    <col min="11266" max="11266" width="39.5703125" style="20" customWidth="1"/>
    <col min="11267" max="11268" width="14.85546875" style="20" customWidth="1"/>
    <col min="11269" max="11269" width="16.28515625" style="20" customWidth="1"/>
    <col min="11270" max="11520" width="9.140625" style="20"/>
    <col min="11521" max="11521" width="6.85546875" style="20" customWidth="1"/>
    <col min="11522" max="11522" width="39.5703125" style="20" customWidth="1"/>
    <col min="11523" max="11524" width="14.85546875" style="20" customWidth="1"/>
    <col min="11525" max="11525" width="16.28515625" style="20" customWidth="1"/>
    <col min="11526" max="11776" width="9.140625" style="20"/>
    <col min="11777" max="11777" width="6.85546875" style="20" customWidth="1"/>
    <col min="11778" max="11778" width="39.5703125" style="20" customWidth="1"/>
    <col min="11779" max="11780" width="14.85546875" style="20" customWidth="1"/>
    <col min="11781" max="11781" width="16.28515625" style="20" customWidth="1"/>
    <col min="11782" max="12032" width="9.140625" style="20"/>
    <col min="12033" max="12033" width="6.85546875" style="20" customWidth="1"/>
    <col min="12034" max="12034" width="39.5703125" style="20" customWidth="1"/>
    <col min="12035" max="12036" width="14.85546875" style="20" customWidth="1"/>
    <col min="12037" max="12037" width="16.28515625" style="20" customWidth="1"/>
    <col min="12038" max="12288" width="9.140625" style="20"/>
    <col min="12289" max="12289" width="6.85546875" style="20" customWidth="1"/>
    <col min="12290" max="12290" width="39.5703125" style="20" customWidth="1"/>
    <col min="12291" max="12292" width="14.85546875" style="20" customWidth="1"/>
    <col min="12293" max="12293" width="16.28515625" style="20" customWidth="1"/>
    <col min="12294" max="12544" width="9.140625" style="20"/>
    <col min="12545" max="12545" width="6.85546875" style="20" customWidth="1"/>
    <col min="12546" max="12546" width="39.5703125" style="20" customWidth="1"/>
    <col min="12547" max="12548" width="14.85546875" style="20" customWidth="1"/>
    <col min="12549" max="12549" width="16.28515625" style="20" customWidth="1"/>
    <col min="12550" max="12800" width="9.140625" style="20"/>
    <col min="12801" max="12801" width="6.85546875" style="20" customWidth="1"/>
    <col min="12802" max="12802" width="39.5703125" style="20" customWidth="1"/>
    <col min="12803" max="12804" width="14.85546875" style="20" customWidth="1"/>
    <col min="12805" max="12805" width="16.28515625" style="20" customWidth="1"/>
    <col min="12806" max="13056" width="9.140625" style="20"/>
    <col min="13057" max="13057" width="6.85546875" style="20" customWidth="1"/>
    <col min="13058" max="13058" width="39.5703125" style="20" customWidth="1"/>
    <col min="13059" max="13060" width="14.85546875" style="20" customWidth="1"/>
    <col min="13061" max="13061" width="16.28515625" style="20" customWidth="1"/>
    <col min="13062" max="13312" width="9.140625" style="20"/>
    <col min="13313" max="13313" width="6.85546875" style="20" customWidth="1"/>
    <col min="13314" max="13314" width="39.5703125" style="20" customWidth="1"/>
    <col min="13315" max="13316" width="14.85546875" style="20" customWidth="1"/>
    <col min="13317" max="13317" width="16.28515625" style="20" customWidth="1"/>
    <col min="13318" max="13568" width="9.140625" style="20"/>
    <col min="13569" max="13569" width="6.85546875" style="20" customWidth="1"/>
    <col min="13570" max="13570" width="39.5703125" style="20" customWidth="1"/>
    <col min="13571" max="13572" width="14.85546875" style="20" customWidth="1"/>
    <col min="13573" max="13573" width="16.28515625" style="20" customWidth="1"/>
    <col min="13574" max="13824" width="9.140625" style="20"/>
    <col min="13825" max="13825" width="6.85546875" style="20" customWidth="1"/>
    <col min="13826" max="13826" width="39.5703125" style="20" customWidth="1"/>
    <col min="13827" max="13828" width="14.85546875" style="20" customWidth="1"/>
    <col min="13829" max="13829" width="16.28515625" style="20" customWidth="1"/>
    <col min="13830" max="14080" width="9.140625" style="20"/>
    <col min="14081" max="14081" width="6.85546875" style="20" customWidth="1"/>
    <col min="14082" max="14082" width="39.5703125" style="20" customWidth="1"/>
    <col min="14083" max="14084" width="14.85546875" style="20" customWidth="1"/>
    <col min="14085" max="14085" width="16.28515625" style="20" customWidth="1"/>
    <col min="14086" max="14336" width="9.140625" style="20"/>
    <col min="14337" max="14337" width="6.85546875" style="20" customWidth="1"/>
    <col min="14338" max="14338" width="39.5703125" style="20" customWidth="1"/>
    <col min="14339" max="14340" width="14.85546875" style="20" customWidth="1"/>
    <col min="14341" max="14341" width="16.28515625" style="20" customWidth="1"/>
    <col min="14342" max="14592" width="9.140625" style="20"/>
    <col min="14593" max="14593" width="6.85546875" style="20" customWidth="1"/>
    <col min="14594" max="14594" width="39.5703125" style="20" customWidth="1"/>
    <col min="14595" max="14596" width="14.85546875" style="20" customWidth="1"/>
    <col min="14597" max="14597" width="16.28515625" style="20" customWidth="1"/>
    <col min="14598" max="14848" width="9.140625" style="20"/>
    <col min="14849" max="14849" width="6.85546875" style="20" customWidth="1"/>
    <col min="14850" max="14850" width="39.5703125" style="20" customWidth="1"/>
    <col min="14851" max="14852" width="14.85546875" style="20" customWidth="1"/>
    <col min="14853" max="14853" width="16.28515625" style="20" customWidth="1"/>
    <col min="14854" max="15104" width="9.140625" style="20"/>
    <col min="15105" max="15105" width="6.85546875" style="20" customWidth="1"/>
    <col min="15106" max="15106" width="39.5703125" style="20" customWidth="1"/>
    <col min="15107" max="15108" width="14.85546875" style="20" customWidth="1"/>
    <col min="15109" max="15109" width="16.28515625" style="20" customWidth="1"/>
    <col min="15110" max="15360" width="9.140625" style="20"/>
    <col min="15361" max="15361" width="6.85546875" style="20" customWidth="1"/>
    <col min="15362" max="15362" width="39.5703125" style="20" customWidth="1"/>
    <col min="15363" max="15364" width="14.85546875" style="20" customWidth="1"/>
    <col min="15365" max="15365" width="16.28515625" style="20" customWidth="1"/>
    <col min="15366" max="15616" width="9.140625" style="20"/>
    <col min="15617" max="15617" width="6.85546875" style="20" customWidth="1"/>
    <col min="15618" max="15618" width="39.5703125" style="20" customWidth="1"/>
    <col min="15619" max="15620" width="14.85546875" style="20" customWidth="1"/>
    <col min="15621" max="15621" width="16.28515625" style="20" customWidth="1"/>
    <col min="15622" max="15872" width="9.140625" style="20"/>
    <col min="15873" max="15873" width="6.85546875" style="20" customWidth="1"/>
    <col min="15874" max="15874" width="39.5703125" style="20" customWidth="1"/>
    <col min="15875" max="15876" width="14.85546875" style="20" customWidth="1"/>
    <col min="15877" max="15877" width="16.28515625" style="20" customWidth="1"/>
    <col min="15878" max="16128" width="9.140625" style="20"/>
    <col min="16129" max="16129" width="6.85546875" style="20" customWidth="1"/>
    <col min="16130" max="16130" width="39.5703125" style="20" customWidth="1"/>
    <col min="16131" max="16132" width="14.85546875" style="20" customWidth="1"/>
    <col min="16133" max="16133" width="16.28515625" style="20" customWidth="1"/>
    <col min="16134" max="16384" width="9.140625" style="20"/>
  </cols>
  <sheetData>
    <row r="1" spans="1:5" x14ac:dyDescent="0.25">
      <c r="B1" s="21"/>
      <c r="C1" s="21"/>
      <c r="D1" s="2"/>
      <c r="E1" s="42" t="s">
        <v>532</v>
      </c>
    </row>
    <row r="2" spans="1:5" x14ac:dyDescent="0.25">
      <c r="B2" s="21"/>
      <c r="C2" s="21"/>
      <c r="D2" s="2"/>
      <c r="E2" s="2" t="s">
        <v>127</v>
      </c>
    </row>
    <row r="3" spans="1:5" x14ac:dyDescent="0.25">
      <c r="B3" s="489" t="s">
        <v>287</v>
      </c>
      <c r="C3" s="489"/>
      <c r="D3" s="489"/>
      <c r="E3" s="489"/>
    </row>
    <row r="4" spans="1:5" x14ac:dyDescent="0.25">
      <c r="B4" s="21"/>
      <c r="C4" s="21"/>
      <c r="D4" s="2"/>
      <c r="E4" s="2" t="s">
        <v>168</v>
      </c>
    </row>
    <row r="5" spans="1:5" x14ac:dyDescent="0.25">
      <c r="B5" s="21"/>
      <c r="C5" s="21"/>
      <c r="D5" s="2"/>
      <c r="E5" s="53" t="s">
        <v>533</v>
      </c>
    </row>
    <row r="6" spans="1:5" ht="14.25" customHeight="1" x14ac:dyDescent="0.25">
      <c r="C6" s="2"/>
    </row>
    <row r="7" spans="1:5" ht="14.25" customHeight="1" x14ac:dyDescent="0.25">
      <c r="B7" s="532" t="s">
        <v>149</v>
      </c>
      <c r="C7" s="532"/>
      <c r="D7" s="532"/>
      <c r="E7" s="532"/>
    </row>
    <row r="8" spans="1:5" ht="74.25" customHeight="1" x14ac:dyDescent="0.25">
      <c r="A8" s="26"/>
      <c r="B8" s="487" t="s">
        <v>614</v>
      </c>
      <c r="C8" s="487"/>
      <c r="D8" s="487"/>
      <c r="E8" s="487"/>
    </row>
    <row r="9" spans="1:5" ht="14.25" customHeight="1" x14ac:dyDescent="0.25">
      <c r="C9" s="2"/>
    </row>
    <row r="10" spans="1:5" ht="18.75" customHeight="1" x14ac:dyDescent="0.25">
      <c r="C10" s="22"/>
      <c r="D10" s="22"/>
      <c r="E10" s="23" t="s">
        <v>114</v>
      </c>
    </row>
    <row r="11" spans="1:5" ht="22.5" customHeight="1" x14ac:dyDescent="0.25">
      <c r="A11" s="24" t="s">
        <v>274</v>
      </c>
      <c r="B11" s="24" t="s">
        <v>277</v>
      </c>
      <c r="C11" s="24" t="s">
        <v>166</v>
      </c>
      <c r="D11" s="94" t="s">
        <v>603</v>
      </c>
      <c r="E11" s="94" t="s">
        <v>593</v>
      </c>
    </row>
    <row r="12" spans="1:5" s="16" customFormat="1" ht="16.5" customHeight="1" x14ac:dyDescent="0.25">
      <c r="A12" s="30" t="s">
        <v>128</v>
      </c>
      <c r="B12" s="31" t="s">
        <v>279</v>
      </c>
      <c r="C12" s="29">
        <v>113.5575</v>
      </c>
      <c r="D12" s="29"/>
      <c r="E12" s="206">
        <f>D12/C12*100</f>
        <v>0</v>
      </c>
    </row>
    <row r="13" spans="1:5" s="16" customFormat="1" ht="27.75" customHeight="1" x14ac:dyDescent="0.25">
      <c r="A13" s="30" t="s">
        <v>280</v>
      </c>
      <c r="B13" s="32" t="s">
        <v>281</v>
      </c>
      <c r="C13" s="29">
        <v>129.96100000000001</v>
      </c>
      <c r="D13" s="29"/>
      <c r="E13" s="206">
        <f>D13/C13*100</f>
        <v>0</v>
      </c>
    </row>
    <row r="14" spans="1:5" s="16" customFormat="1" x14ac:dyDescent="0.25">
      <c r="A14" s="30" t="s">
        <v>282</v>
      </c>
      <c r="B14" s="32" t="s">
        <v>283</v>
      </c>
      <c r="C14" s="29">
        <v>138.66999999999999</v>
      </c>
      <c r="D14" s="29"/>
      <c r="E14" s="206">
        <f>D14/C14*100</f>
        <v>0</v>
      </c>
    </row>
    <row r="15" spans="1:5" ht="18.75" customHeight="1" x14ac:dyDescent="0.25">
      <c r="A15" s="30" t="s">
        <v>284</v>
      </c>
      <c r="B15" s="32" t="s">
        <v>285</v>
      </c>
      <c r="C15" s="33">
        <v>142.1925</v>
      </c>
      <c r="D15" s="33"/>
      <c r="E15" s="206">
        <f>D15/C15*100</f>
        <v>0</v>
      </c>
    </row>
    <row r="16" spans="1:5" s="37" customFormat="1" ht="18.75" customHeight="1" x14ac:dyDescent="0.25">
      <c r="A16" s="34"/>
      <c r="B16" s="35" t="s">
        <v>286</v>
      </c>
      <c r="C16" s="36">
        <f>SUM(C12:C15)</f>
        <v>524.38099999999997</v>
      </c>
      <c r="D16" s="36">
        <f>SUM(D12:D15)</f>
        <v>0</v>
      </c>
      <c r="E16" s="206">
        <f>D16/C16*100</f>
        <v>0</v>
      </c>
    </row>
    <row r="17" spans="3:5" x14ac:dyDescent="0.25">
      <c r="C17" s="60"/>
    </row>
    <row r="19" spans="3:5" x14ac:dyDescent="0.25">
      <c r="C19" s="25"/>
      <c r="D19" s="25"/>
      <c r="E19" s="25"/>
    </row>
  </sheetData>
  <mergeCells count="3">
    <mergeCell ref="B3:E3"/>
    <mergeCell ref="B7:E7"/>
    <mergeCell ref="B8:E8"/>
  </mergeCells>
  <printOptions horizontalCentered="1"/>
  <pageMargins left="0.59" right="0.15748031496062992" top="0.98425196850393704" bottom="0.98425196850393704" header="0.51181102362204722" footer="0.51181102362204722"/>
  <pageSetup paperSize="9" scale="92" orientation="portrait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  <pageSetUpPr fitToPage="1"/>
  </sheetPr>
  <dimension ref="A1:X246"/>
  <sheetViews>
    <sheetView view="pageBreakPreview" topLeftCell="A90" zoomScaleSheetLayoutView="100" workbookViewId="0">
      <selection activeCell="D96" sqref="D96"/>
    </sheetView>
  </sheetViews>
  <sheetFormatPr defaultRowHeight="15" x14ac:dyDescent="0.25"/>
  <cols>
    <col min="1" max="1" width="21.5703125" style="277" customWidth="1"/>
    <col min="2" max="2" width="67.28515625" style="277" customWidth="1"/>
    <col min="3" max="3" width="18" style="277" customWidth="1"/>
    <col min="4" max="4" width="15.85546875" style="277" customWidth="1"/>
    <col min="5" max="5" width="15.42578125" style="277" customWidth="1"/>
    <col min="6" max="6" width="15.42578125" style="277" bestFit="1" customWidth="1"/>
    <col min="7" max="256" width="9.140625" style="277"/>
    <col min="257" max="257" width="21.5703125" style="277" customWidth="1"/>
    <col min="258" max="258" width="67.28515625" style="277" customWidth="1"/>
    <col min="259" max="259" width="18" style="277" customWidth="1"/>
    <col min="260" max="512" width="9.140625" style="277"/>
    <col min="513" max="513" width="21.5703125" style="277" customWidth="1"/>
    <col min="514" max="514" width="67.28515625" style="277" customWidth="1"/>
    <col min="515" max="515" width="18" style="277" customWidth="1"/>
    <col min="516" max="768" width="9.140625" style="277"/>
    <col min="769" max="769" width="21.5703125" style="277" customWidth="1"/>
    <col min="770" max="770" width="67.28515625" style="277" customWidth="1"/>
    <col min="771" max="771" width="18" style="277" customWidth="1"/>
    <col min="772" max="1024" width="9.140625" style="277"/>
    <col min="1025" max="1025" width="21.5703125" style="277" customWidth="1"/>
    <col min="1026" max="1026" width="67.28515625" style="277" customWidth="1"/>
    <col min="1027" max="1027" width="18" style="277" customWidth="1"/>
    <col min="1028" max="1280" width="9.140625" style="277"/>
    <col min="1281" max="1281" width="21.5703125" style="277" customWidth="1"/>
    <col min="1282" max="1282" width="67.28515625" style="277" customWidth="1"/>
    <col min="1283" max="1283" width="18" style="277" customWidth="1"/>
    <col min="1284" max="1536" width="9.140625" style="277"/>
    <col min="1537" max="1537" width="21.5703125" style="277" customWidth="1"/>
    <col min="1538" max="1538" width="67.28515625" style="277" customWidth="1"/>
    <col min="1539" max="1539" width="18" style="277" customWidth="1"/>
    <col min="1540" max="1792" width="9.140625" style="277"/>
    <col min="1793" max="1793" width="21.5703125" style="277" customWidth="1"/>
    <col min="1794" max="1794" width="67.28515625" style="277" customWidth="1"/>
    <col min="1795" max="1795" width="18" style="277" customWidth="1"/>
    <col min="1796" max="2048" width="9.140625" style="277"/>
    <col min="2049" max="2049" width="21.5703125" style="277" customWidth="1"/>
    <col min="2050" max="2050" width="67.28515625" style="277" customWidth="1"/>
    <col min="2051" max="2051" width="18" style="277" customWidth="1"/>
    <col min="2052" max="2304" width="9.140625" style="277"/>
    <col min="2305" max="2305" width="21.5703125" style="277" customWidth="1"/>
    <col min="2306" max="2306" width="67.28515625" style="277" customWidth="1"/>
    <col min="2307" max="2307" width="18" style="277" customWidth="1"/>
    <col min="2308" max="2560" width="9.140625" style="277"/>
    <col min="2561" max="2561" width="21.5703125" style="277" customWidth="1"/>
    <col min="2562" max="2562" width="67.28515625" style="277" customWidth="1"/>
    <col min="2563" max="2563" width="18" style="277" customWidth="1"/>
    <col min="2564" max="2816" width="9.140625" style="277"/>
    <col min="2817" max="2817" width="21.5703125" style="277" customWidth="1"/>
    <col min="2818" max="2818" width="67.28515625" style="277" customWidth="1"/>
    <col min="2819" max="2819" width="18" style="277" customWidth="1"/>
    <col min="2820" max="3072" width="9.140625" style="277"/>
    <col min="3073" max="3073" width="21.5703125" style="277" customWidth="1"/>
    <col min="3074" max="3074" width="67.28515625" style="277" customWidth="1"/>
    <col min="3075" max="3075" width="18" style="277" customWidth="1"/>
    <col min="3076" max="3328" width="9.140625" style="277"/>
    <col min="3329" max="3329" width="21.5703125" style="277" customWidth="1"/>
    <col min="3330" max="3330" width="67.28515625" style="277" customWidth="1"/>
    <col min="3331" max="3331" width="18" style="277" customWidth="1"/>
    <col min="3332" max="3584" width="9.140625" style="277"/>
    <col min="3585" max="3585" width="21.5703125" style="277" customWidth="1"/>
    <col min="3586" max="3586" width="67.28515625" style="277" customWidth="1"/>
    <col min="3587" max="3587" width="18" style="277" customWidth="1"/>
    <col min="3588" max="3840" width="9.140625" style="277"/>
    <col min="3841" max="3841" width="21.5703125" style="277" customWidth="1"/>
    <col min="3842" max="3842" width="67.28515625" style="277" customWidth="1"/>
    <col min="3843" max="3843" width="18" style="277" customWidth="1"/>
    <col min="3844" max="4096" width="9.140625" style="277"/>
    <col min="4097" max="4097" width="21.5703125" style="277" customWidth="1"/>
    <col min="4098" max="4098" width="67.28515625" style="277" customWidth="1"/>
    <col min="4099" max="4099" width="18" style="277" customWidth="1"/>
    <col min="4100" max="4352" width="9.140625" style="277"/>
    <col min="4353" max="4353" width="21.5703125" style="277" customWidth="1"/>
    <col min="4354" max="4354" width="67.28515625" style="277" customWidth="1"/>
    <col min="4355" max="4355" width="18" style="277" customWidth="1"/>
    <col min="4356" max="4608" width="9.140625" style="277"/>
    <col min="4609" max="4609" width="21.5703125" style="277" customWidth="1"/>
    <col min="4610" max="4610" width="67.28515625" style="277" customWidth="1"/>
    <col min="4611" max="4611" width="18" style="277" customWidth="1"/>
    <col min="4612" max="4864" width="9.140625" style="277"/>
    <col min="4865" max="4865" width="21.5703125" style="277" customWidth="1"/>
    <col min="4866" max="4866" width="67.28515625" style="277" customWidth="1"/>
    <col min="4867" max="4867" width="18" style="277" customWidth="1"/>
    <col min="4868" max="5120" width="9.140625" style="277"/>
    <col min="5121" max="5121" width="21.5703125" style="277" customWidth="1"/>
    <col min="5122" max="5122" width="67.28515625" style="277" customWidth="1"/>
    <col min="5123" max="5123" width="18" style="277" customWidth="1"/>
    <col min="5124" max="5376" width="9.140625" style="277"/>
    <col min="5377" max="5377" width="21.5703125" style="277" customWidth="1"/>
    <col min="5378" max="5378" width="67.28515625" style="277" customWidth="1"/>
    <col min="5379" max="5379" width="18" style="277" customWidth="1"/>
    <col min="5380" max="5632" width="9.140625" style="277"/>
    <col min="5633" max="5633" width="21.5703125" style="277" customWidth="1"/>
    <col min="5634" max="5634" width="67.28515625" style="277" customWidth="1"/>
    <col min="5635" max="5635" width="18" style="277" customWidth="1"/>
    <col min="5636" max="5888" width="9.140625" style="277"/>
    <col min="5889" max="5889" width="21.5703125" style="277" customWidth="1"/>
    <col min="5890" max="5890" width="67.28515625" style="277" customWidth="1"/>
    <col min="5891" max="5891" width="18" style="277" customWidth="1"/>
    <col min="5892" max="6144" width="9.140625" style="277"/>
    <col min="6145" max="6145" width="21.5703125" style="277" customWidth="1"/>
    <col min="6146" max="6146" width="67.28515625" style="277" customWidth="1"/>
    <col min="6147" max="6147" width="18" style="277" customWidth="1"/>
    <col min="6148" max="6400" width="9.140625" style="277"/>
    <col min="6401" max="6401" width="21.5703125" style="277" customWidth="1"/>
    <col min="6402" max="6402" width="67.28515625" style="277" customWidth="1"/>
    <col min="6403" max="6403" width="18" style="277" customWidth="1"/>
    <col min="6404" max="6656" width="9.140625" style="277"/>
    <col min="6657" max="6657" width="21.5703125" style="277" customWidth="1"/>
    <col min="6658" max="6658" width="67.28515625" style="277" customWidth="1"/>
    <col min="6659" max="6659" width="18" style="277" customWidth="1"/>
    <col min="6660" max="6912" width="9.140625" style="277"/>
    <col min="6913" max="6913" width="21.5703125" style="277" customWidth="1"/>
    <col min="6914" max="6914" width="67.28515625" style="277" customWidth="1"/>
    <col min="6915" max="6915" width="18" style="277" customWidth="1"/>
    <col min="6916" max="7168" width="9.140625" style="277"/>
    <col min="7169" max="7169" width="21.5703125" style="277" customWidth="1"/>
    <col min="7170" max="7170" width="67.28515625" style="277" customWidth="1"/>
    <col min="7171" max="7171" width="18" style="277" customWidth="1"/>
    <col min="7172" max="7424" width="9.140625" style="277"/>
    <col min="7425" max="7425" width="21.5703125" style="277" customWidth="1"/>
    <col min="7426" max="7426" width="67.28515625" style="277" customWidth="1"/>
    <col min="7427" max="7427" width="18" style="277" customWidth="1"/>
    <col min="7428" max="7680" width="9.140625" style="277"/>
    <col min="7681" max="7681" width="21.5703125" style="277" customWidth="1"/>
    <col min="7682" max="7682" width="67.28515625" style="277" customWidth="1"/>
    <col min="7683" max="7683" width="18" style="277" customWidth="1"/>
    <col min="7684" max="7936" width="9.140625" style="277"/>
    <col min="7937" max="7937" width="21.5703125" style="277" customWidth="1"/>
    <col min="7938" max="7938" width="67.28515625" style="277" customWidth="1"/>
    <col min="7939" max="7939" width="18" style="277" customWidth="1"/>
    <col min="7940" max="8192" width="9.140625" style="277"/>
    <col min="8193" max="8193" width="21.5703125" style="277" customWidth="1"/>
    <col min="8194" max="8194" width="67.28515625" style="277" customWidth="1"/>
    <col min="8195" max="8195" width="18" style="277" customWidth="1"/>
    <col min="8196" max="8448" width="9.140625" style="277"/>
    <col min="8449" max="8449" width="21.5703125" style="277" customWidth="1"/>
    <col min="8450" max="8450" width="67.28515625" style="277" customWidth="1"/>
    <col min="8451" max="8451" width="18" style="277" customWidth="1"/>
    <col min="8452" max="8704" width="9.140625" style="277"/>
    <col min="8705" max="8705" width="21.5703125" style="277" customWidth="1"/>
    <col min="8706" max="8706" width="67.28515625" style="277" customWidth="1"/>
    <col min="8707" max="8707" width="18" style="277" customWidth="1"/>
    <col min="8708" max="8960" width="9.140625" style="277"/>
    <col min="8961" max="8961" width="21.5703125" style="277" customWidth="1"/>
    <col min="8962" max="8962" width="67.28515625" style="277" customWidth="1"/>
    <col min="8963" max="8963" width="18" style="277" customWidth="1"/>
    <col min="8964" max="9216" width="9.140625" style="277"/>
    <col min="9217" max="9217" width="21.5703125" style="277" customWidth="1"/>
    <col min="9218" max="9218" width="67.28515625" style="277" customWidth="1"/>
    <col min="9219" max="9219" width="18" style="277" customWidth="1"/>
    <col min="9220" max="9472" width="9.140625" style="277"/>
    <col min="9473" max="9473" width="21.5703125" style="277" customWidth="1"/>
    <col min="9474" max="9474" width="67.28515625" style="277" customWidth="1"/>
    <col min="9475" max="9475" width="18" style="277" customWidth="1"/>
    <col min="9476" max="9728" width="9.140625" style="277"/>
    <col min="9729" max="9729" width="21.5703125" style="277" customWidth="1"/>
    <col min="9730" max="9730" width="67.28515625" style="277" customWidth="1"/>
    <col min="9731" max="9731" width="18" style="277" customWidth="1"/>
    <col min="9732" max="9984" width="9.140625" style="277"/>
    <col min="9985" max="9985" width="21.5703125" style="277" customWidth="1"/>
    <col min="9986" max="9986" width="67.28515625" style="277" customWidth="1"/>
    <col min="9987" max="9987" width="18" style="277" customWidth="1"/>
    <col min="9988" max="10240" width="9.140625" style="277"/>
    <col min="10241" max="10241" width="21.5703125" style="277" customWidth="1"/>
    <col min="10242" max="10242" width="67.28515625" style="277" customWidth="1"/>
    <col min="10243" max="10243" width="18" style="277" customWidth="1"/>
    <col min="10244" max="10496" width="9.140625" style="277"/>
    <col min="10497" max="10497" width="21.5703125" style="277" customWidth="1"/>
    <col min="10498" max="10498" width="67.28515625" style="277" customWidth="1"/>
    <col min="10499" max="10499" width="18" style="277" customWidth="1"/>
    <col min="10500" max="10752" width="9.140625" style="277"/>
    <col min="10753" max="10753" width="21.5703125" style="277" customWidth="1"/>
    <col min="10754" max="10754" width="67.28515625" style="277" customWidth="1"/>
    <col min="10755" max="10755" width="18" style="277" customWidth="1"/>
    <col min="10756" max="11008" width="9.140625" style="277"/>
    <col min="11009" max="11009" width="21.5703125" style="277" customWidth="1"/>
    <col min="11010" max="11010" width="67.28515625" style="277" customWidth="1"/>
    <col min="11011" max="11011" width="18" style="277" customWidth="1"/>
    <col min="11012" max="11264" width="9.140625" style="277"/>
    <col min="11265" max="11265" width="21.5703125" style="277" customWidth="1"/>
    <col min="11266" max="11266" width="67.28515625" style="277" customWidth="1"/>
    <col min="11267" max="11267" width="18" style="277" customWidth="1"/>
    <col min="11268" max="11520" width="9.140625" style="277"/>
    <col min="11521" max="11521" width="21.5703125" style="277" customWidth="1"/>
    <col min="11522" max="11522" width="67.28515625" style="277" customWidth="1"/>
    <col min="11523" max="11523" width="18" style="277" customWidth="1"/>
    <col min="11524" max="11776" width="9.140625" style="277"/>
    <col min="11777" max="11777" width="21.5703125" style="277" customWidth="1"/>
    <col min="11778" max="11778" width="67.28515625" style="277" customWidth="1"/>
    <col min="11779" max="11779" width="18" style="277" customWidth="1"/>
    <col min="11780" max="12032" width="9.140625" style="277"/>
    <col min="12033" max="12033" width="21.5703125" style="277" customWidth="1"/>
    <col min="12034" max="12034" width="67.28515625" style="277" customWidth="1"/>
    <col min="12035" max="12035" width="18" style="277" customWidth="1"/>
    <col min="12036" max="12288" width="9.140625" style="277"/>
    <col min="12289" max="12289" width="21.5703125" style="277" customWidth="1"/>
    <col min="12290" max="12290" width="67.28515625" style="277" customWidth="1"/>
    <col min="12291" max="12291" width="18" style="277" customWidth="1"/>
    <col min="12292" max="12544" width="9.140625" style="277"/>
    <col min="12545" max="12545" width="21.5703125" style="277" customWidth="1"/>
    <col min="12546" max="12546" width="67.28515625" style="277" customWidth="1"/>
    <col min="12547" max="12547" width="18" style="277" customWidth="1"/>
    <col min="12548" max="12800" width="9.140625" style="277"/>
    <col min="12801" max="12801" width="21.5703125" style="277" customWidth="1"/>
    <col min="12802" max="12802" width="67.28515625" style="277" customWidth="1"/>
    <col min="12803" max="12803" width="18" style="277" customWidth="1"/>
    <col min="12804" max="13056" width="9.140625" style="277"/>
    <col min="13057" max="13057" width="21.5703125" style="277" customWidth="1"/>
    <col min="13058" max="13058" width="67.28515625" style="277" customWidth="1"/>
    <col min="13059" max="13059" width="18" style="277" customWidth="1"/>
    <col min="13060" max="13312" width="9.140625" style="277"/>
    <col min="13313" max="13313" width="21.5703125" style="277" customWidth="1"/>
    <col min="13314" max="13314" width="67.28515625" style="277" customWidth="1"/>
    <col min="13315" max="13315" width="18" style="277" customWidth="1"/>
    <col min="13316" max="13568" width="9.140625" style="277"/>
    <col min="13569" max="13569" width="21.5703125" style="277" customWidth="1"/>
    <col min="13570" max="13570" width="67.28515625" style="277" customWidth="1"/>
    <col min="13571" max="13571" width="18" style="277" customWidth="1"/>
    <col min="13572" max="13824" width="9.140625" style="277"/>
    <col min="13825" max="13825" width="21.5703125" style="277" customWidth="1"/>
    <col min="13826" max="13826" width="67.28515625" style="277" customWidth="1"/>
    <col min="13827" max="13827" width="18" style="277" customWidth="1"/>
    <col min="13828" max="14080" width="9.140625" style="277"/>
    <col min="14081" max="14081" width="21.5703125" style="277" customWidth="1"/>
    <col min="14082" max="14082" width="67.28515625" style="277" customWidth="1"/>
    <col min="14083" max="14083" width="18" style="277" customWidth="1"/>
    <col min="14084" max="14336" width="9.140625" style="277"/>
    <col min="14337" max="14337" width="21.5703125" style="277" customWidth="1"/>
    <col min="14338" max="14338" width="67.28515625" style="277" customWidth="1"/>
    <col min="14339" max="14339" width="18" style="277" customWidth="1"/>
    <col min="14340" max="14592" width="9.140625" style="277"/>
    <col min="14593" max="14593" width="21.5703125" style="277" customWidth="1"/>
    <col min="14594" max="14594" width="67.28515625" style="277" customWidth="1"/>
    <col min="14595" max="14595" width="18" style="277" customWidth="1"/>
    <col min="14596" max="14848" width="9.140625" style="277"/>
    <col min="14849" max="14849" width="21.5703125" style="277" customWidth="1"/>
    <col min="14850" max="14850" width="67.28515625" style="277" customWidth="1"/>
    <col min="14851" max="14851" width="18" style="277" customWidth="1"/>
    <col min="14852" max="15104" width="9.140625" style="277"/>
    <col min="15105" max="15105" width="21.5703125" style="277" customWidth="1"/>
    <col min="15106" max="15106" width="67.28515625" style="277" customWidth="1"/>
    <col min="15107" max="15107" width="18" style="277" customWidth="1"/>
    <col min="15108" max="15360" width="9.140625" style="277"/>
    <col min="15361" max="15361" width="21.5703125" style="277" customWidth="1"/>
    <col min="15362" max="15362" width="67.28515625" style="277" customWidth="1"/>
    <col min="15363" max="15363" width="18" style="277" customWidth="1"/>
    <col min="15364" max="15616" width="9.140625" style="277"/>
    <col min="15617" max="15617" width="21.5703125" style="277" customWidth="1"/>
    <col min="15618" max="15618" width="67.28515625" style="277" customWidth="1"/>
    <col min="15619" max="15619" width="18" style="277" customWidth="1"/>
    <col min="15620" max="15872" width="9.140625" style="277"/>
    <col min="15873" max="15873" width="21.5703125" style="277" customWidth="1"/>
    <col min="15874" max="15874" width="67.28515625" style="277" customWidth="1"/>
    <col min="15875" max="15875" width="18" style="277" customWidth="1"/>
    <col min="15876" max="16128" width="9.140625" style="277"/>
    <col min="16129" max="16129" width="21.5703125" style="277" customWidth="1"/>
    <col min="16130" max="16130" width="67.28515625" style="277" customWidth="1"/>
    <col min="16131" max="16131" width="18" style="277" customWidth="1"/>
    <col min="16132" max="16384" width="9.140625" style="277"/>
  </cols>
  <sheetData>
    <row r="1" spans="1:24" ht="15.75" x14ac:dyDescent="0.25">
      <c r="A1" s="276"/>
      <c r="B1" s="276"/>
      <c r="C1" s="534" t="s">
        <v>653</v>
      </c>
      <c r="D1" s="534"/>
      <c r="E1" s="534"/>
    </row>
    <row r="2" spans="1:24" ht="15.75" x14ac:dyDescent="0.25">
      <c r="A2" s="276"/>
      <c r="B2" s="276"/>
      <c r="C2" s="534" t="s">
        <v>127</v>
      </c>
      <c r="D2" s="534"/>
      <c r="E2" s="534"/>
    </row>
    <row r="3" spans="1:24" ht="15.75" x14ac:dyDescent="0.25">
      <c r="A3" s="276"/>
      <c r="B3" s="534" t="s">
        <v>167</v>
      </c>
      <c r="C3" s="534"/>
      <c r="D3" s="534"/>
      <c r="E3" s="534"/>
    </row>
    <row r="4" spans="1:24" ht="15.75" x14ac:dyDescent="0.25">
      <c r="A4" s="276"/>
      <c r="B4" s="534" t="s">
        <v>168</v>
      </c>
      <c r="C4" s="534"/>
      <c r="D4" s="534"/>
      <c r="E4" s="534"/>
    </row>
    <row r="5" spans="1:24" ht="15.75" x14ac:dyDescent="0.25">
      <c r="A5" s="276"/>
      <c r="B5" s="534" t="s">
        <v>648</v>
      </c>
      <c r="C5" s="534"/>
      <c r="D5" s="534"/>
      <c r="E5" s="534"/>
    </row>
    <row r="6" spans="1:24" x14ac:dyDescent="0.25">
      <c r="A6" s="368"/>
    </row>
    <row r="7" spans="1:24" x14ac:dyDescent="0.25">
      <c r="A7" s="533" t="s">
        <v>184</v>
      </c>
      <c r="B7" s="533"/>
      <c r="C7" s="533"/>
    </row>
    <row r="8" spans="1:24" x14ac:dyDescent="0.25">
      <c r="A8" s="533" t="s">
        <v>654</v>
      </c>
      <c r="B8" s="533"/>
      <c r="C8" s="533"/>
    </row>
    <row r="9" spans="1:24" ht="15.75" thickBot="1" x14ac:dyDescent="0.3">
      <c r="A9" s="369"/>
      <c r="B9" s="369"/>
      <c r="C9" s="370" t="s">
        <v>114</v>
      </c>
    </row>
    <row r="10" spans="1:24" s="99" customFormat="1" ht="29.25" thickBot="1" x14ac:dyDescent="0.25">
      <c r="A10" s="18" t="s">
        <v>185</v>
      </c>
      <c r="B10" s="18" t="s">
        <v>186</v>
      </c>
      <c r="C10" s="5" t="s">
        <v>164</v>
      </c>
      <c r="D10" s="94" t="s">
        <v>655</v>
      </c>
      <c r="E10" s="94" t="s">
        <v>593</v>
      </c>
    </row>
    <row r="11" spans="1:24" x14ac:dyDescent="0.25">
      <c r="A11" s="371">
        <v>1</v>
      </c>
      <c r="B11" s="372">
        <v>2</v>
      </c>
      <c r="C11" s="373">
        <v>3</v>
      </c>
      <c r="D11" s="374">
        <v>4</v>
      </c>
      <c r="E11" s="374">
        <v>5</v>
      </c>
      <c r="F11" s="19"/>
      <c r="G11" s="19"/>
      <c r="H11" s="19"/>
      <c r="I11" s="19"/>
      <c r="J11" s="19"/>
      <c r="K11" s="19"/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</row>
    <row r="12" spans="1:24" s="379" customFormat="1" ht="14.25" x14ac:dyDescent="0.2">
      <c r="A12" s="375"/>
      <c r="B12" s="376"/>
      <c r="C12" s="377"/>
      <c r="D12" s="378"/>
      <c r="E12" s="378"/>
      <c r="F12" s="19"/>
      <c r="G12" s="19"/>
      <c r="H12" s="19"/>
      <c r="I12" s="19"/>
      <c r="J12" s="19"/>
      <c r="K12" s="19"/>
      <c r="L12" s="19"/>
      <c r="M12" s="19"/>
      <c r="N12" s="19"/>
      <c r="O12" s="19"/>
      <c r="P12" s="19"/>
      <c r="Q12" s="19"/>
      <c r="R12" s="19"/>
      <c r="S12" s="19"/>
      <c r="T12" s="19"/>
      <c r="U12" s="19"/>
      <c r="V12" s="19"/>
      <c r="W12" s="19"/>
      <c r="X12" s="19"/>
    </row>
    <row r="13" spans="1:24" s="379" customFormat="1" ht="14.25" x14ac:dyDescent="0.2">
      <c r="A13" s="380" t="s">
        <v>129</v>
      </c>
      <c r="B13" s="381" t="s">
        <v>130</v>
      </c>
      <c r="C13" s="411">
        <f>C14+C15+C20+C24+C31+C32+C35+C38+C41+C43+C44</f>
        <v>37800</v>
      </c>
      <c r="D13" s="411">
        <f>D14+D15+D20+D24+D31+D32+D35+D38+D41+D43+D44</f>
        <v>8973.7353500000008</v>
      </c>
      <c r="E13" s="382">
        <f>D13/C13*100</f>
        <v>23.740040608465609</v>
      </c>
      <c r="F13" s="19"/>
      <c r="G13" s="19"/>
      <c r="H13" s="19"/>
      <c r="I13" s="19"/>
      <c r="J13" s="19"/>
      <c r="K13" s="19"/>
      <c r="L13" s="19"/>
      <c r="M13" s="19"/>
      <c r="N13" s="19"/>
      <c r="O13" s="19"/>
      <c r="P13" s="19"/>
      <c r="Q13" s="19"/>
      <c r="R13" s="19"/>
      <c r="S13" s="19"/>
      <c r="T13" s="19"/>
      <c r="U13" s="19"/>
      <c r="V13" s="19"/>
      <c r="W13" s="19"/>
      <c r="X13" s="19"/>
    </row>
    <row r="14" spans="1:24" s="379" customFormat="1" ht="21" customHeight="1" x14ac:dyDescent="0.2">
      <c r="A14" s="380" t="s">
        <v>187</v>
      </c>
      <c r="B14" s="381" t="s">
        <v>188</v>
      </c>
      <c r="C14" s="411">
        <v>28618</v>
      </c>
      <c r="D14" s="411">
        <f>6768.09082-2.52455+9.22876</f>
        <v>6774.7950300000002</v>
      </c>
      <c r="E14" s="382">
        <f t="shared" ref="E14:E45" si="0">D14/C14*100</f>
        <v>23.673195296666435</v>
      </c>
      <c r="F14" s="19"/>
      <c r="G14" s="19"/>
      <c r="H14" s="19"/>
      <c r="I14" s="19"/>
      <c r="J14" s="19"/>
      <c r="K14" s="19"/>
      <c r="L14" s="19"/>
      <c r="M14" s="19"/>
      <c r="N14" s="19"/>
      <c r="O14" s="19"/>
      <c r="P14" s="19"/>
      <c r="Q14" s="19"/>
      <c r="R14" s="19"/>
      <c r="S14" s="19"/>
      <c r="T14" s="19"/>
      <c r="U14" s="19"/>
      <c r="V14" s="19"/>
      <c r="W14" s="19"/>
      <c r="X14" s="19"/>
    </row>
    <row r="15" spans="1:24" s="379" customFormat="1" ht="32.25" customHeight="1" x14ac:dyDescent="0.2">
      <c r="A15" s="380" t="s">
        <v>131</v>
      </c>
      <c r="B15" s="381" t="s">
        <v>189</v>
      </c>
      <c r="C15" s="411">
        <f>C17+C16+C18+C19</f>
        <v>1076</v>
      </c>
      <c r="D15" s="411">
        <f>D17+D16+D18+D19</f>
        <v>234.20954000000003</v>
      </c>
      <c r="E15" s="382">
        <f t="shared" si="0"/>
        <v>21.766685873605951</v>
      </c>
      <c r="F15" s="19"/>
      <c r="G15" s="19"/>
      <c r="H15" s="19"/>
      <c r="I15" s="19"/>
      <c r="J15" s="19"/>
      <c r="K15" s="19"/>
      <c r="L15" s="19"/>
      <c r="M15" s="19"/>
      <c r="N15" s="19"/>
      <c r="O15" s="19"/>
      <c r="P15" s="19"/>
      <c r="Q15" s="19"/>
      <c r="R15" s="19"/>
      <c r="S15" s="19"/>
      <c r="T15" s="19"/>
      <c r="U15" s="19"/>
      <c r="V15" s="19"/>
      <c r="W15" s="19"/>
      <c r="X15" s="19"/>
    </row>
    <row r="16" spans="1:24" s="379" customFormat="1" ht="29.25" customHeight="1" x14ac:dyDescent="0.2">
      <c r="A16" s="383" t="s">
        <v>190</v>
      </c>
      <c r="B16" s="384" t="s">
        <v>191</v>
      </c>
      <c r="C16" s="411">
        <v>515</v>
      </c>
      <c r="D16" s="411">
        <v>106.28906000000001</v>
      </c>
      <c r="E16" s="382">
        <f t="shared" si="0"/>
        <v>20.638652427184468</v>
      </c>
      <c r="F16" s="19"/>
      <c r="G16" s="19"/>
      <c r="H16" s="19"/>
      <c r="I16" s="19"/>
      <c r="J16" s="19"/>
      <c r="K16" s="19"/>
      <c r="L16" s="19"/>
      <c r="M16" s="19"/>
      <c r="N16" s="19"/>
      <c r="O16" s="19"/>
      <c r="P16" s="19"/>
      <c r="Q16" s="19"/>
      <c r="R16" s="19"/>
      <c r="S16" s="19"/>
      <c r="T16" s="19"/>
      <c r="U16" s="19"/>
      <c r="V16" s="19"/>
      <c r="W16" s="19"/>
      <c r="X16" s="19"/>
    </row>
    <row r="17" spans="1:24" s="379" customFormat="1" ht="75" x14ac:dyDescent="0.2">
      <c r="A17" s="383" t="s">
        <v>192</v>
      </c>
      <c r="B17" s="384" t="s">
        <v>193</v>
      </c>
      <c r="C17" s="412">
        <v>5</v>
      </c>
      <c r="D17" s="412">
        <v>0.69289000000000001</v>
      </c>
      <c r="E17" s="382">
        <f t="shared" si="0"/>
        <v>13.857800000000001</v>
      </c>
      <c r="F17" s="19"/>
      <c r="G17" s="19"/>
      <c r="H17" s="19"/>
      <c r="I17" s="19"/>
      <c r="J17" s="19"/>
      <c r="K17" s="19"/>
      <c r="L17" s="19"/>
      <c r="M17" s="19"/>
      <c r="N17" s="19"/>
      <c r="O17" s="19"/>
      <c r="P17" s="19"/>
      <c r="Q17" s="19"/>
      <c r="R17" s="19"/>
      <c r="S17" s="19"/>
      <c r="T17" s="19"/>
      <c r="U17" s="19"/>
      <c r="V17" s="19"/>
      <c r="W17" s="19"/>
      <c r="X17" s="19"/>
    </row>
    <row r="18" spans="1:24" s="379" customFormat="1" ht="60" x14ac:dyDescent="0.2">
      <c r="A18" s="383" t="s">
        <v>194</v>
      </c>
      <c r="B18" s="384" t="s">
        <v>195</v>
      </c>
      <c r="C18" s="412">
        <f>653-32</f>
        <v>621</v>
      </c>
      <c r="D18" s="412">
        <v>149.18235000000001</v>
      </c>
      <c r="E18" s="382">
        <f t="shared" si="0"/>
        <v>24.022922705314013</v>
      </c>
      <c r="F18" s="19"/>
      <c r="G18" s="19"/>
      <c r="H18" s="19"/>
      <c r="I18" s="19"/>
      <c r="J18" s="19"/>
      <c r="K18" s="19"/>
      <c r="L18" s="19"/>
      <c r="M18" s="19"/>
      <c r="N18" s="19"/>
      <c r="O18" s="19"/>
      <c r="P18" s="19"/>
      <c r="Q18" s="19"/>
      <c r="R18" s="19"/>
      <c r="S18" s="19"/>
      <c r="T18" s="19"/>
      <c r="U18" s="19"/>
      <c r="V18" s="19"/>
      <c r="W18" s="19"/>
      <c r="X18" s="19"/>
    </row>
    <row r="19" spans="1:24" s="379" customFormat="1" ht="60" x14ac:dyDescent="0.2">
      <c r="A19" s="383" t="s">
        <v>196</v>
      </c>
      <c r="B19" s="384" t="s">
        <v>197</v>
      </c>
      <c r="C19" s="412">
        <v>-65</v>
      </c>
      <c r="D19" s="412">
        <v>-21.95476</v>
      </c>
      <c r="E19" s="382">
        <f t="shared" si="0"/>
        <v>33.776553846153845</v>
      </c>
      <c r="F19" s="19"/>
      <c r="G19" s="19"/>
      <c r="H19" s="19"/>
      <c r="I19" s="19"/>
      <c r="J19" s="19"/>
      <c r="K19" s="19"/>
      <c r="L19" s="19"/>
      <c r="M19" s="19"/>
      <c r="N19" s="19"/>
      <c r="O19" s="19"/>
      <c r="P19" s="19"/>
      <c r="Q19" s="19"/>
      <c r="R19" s="19"/>
      <c r="S19" s="19"/>
      <c r="T19" s="19"/>
      <c r="U19" s="19"/>
      <c r="V19" s="19"/>
      <c r="W19" s="19"/>
      <c r="X19" s="19"/>
    </row>
    <row r="20" spans="1:24" s="379" customFormat="1" ht="14.25" x14ac:dyDescent="0.2">
      <c r="A20" s="380" t="s">
        <v>198</v>
      </c>
      <c r="B20" s="381" t="s">
        <v>132</v>
      </c>
      <c r="C20" s="411">
        <f>C21+C22+C23</f>
        <v>1419</v>
      </c>
      <c r="D20" s="411">
        <f>D21+D22+D23</f>
        <v>295.13429999999994</v>
      </c>
      <c r="E20" s="382">
        <f t="shared" si="0"/>
        <v>20.798752642706127</v>
      </c>
      <c r="F20" s="19"/>
      <c r="G20" s="19"/>
      <c r="H20" s="19"/>
      <c r="I20" s="19"/>
      <c r="J20" s="19"/>
      <c r="K20" s="19"/>
      <c r="L20" s="19"/>
      <c r="M20" s="19"/>
      <c r="N20" s="19"/>
      <c r="O20" s="19"/>
      <c r="P20" s="19"/>
      <c r="Q20" s="19"/>
      <c r="R20" s="19"/>
      <c r="S20" s="19"/>
      <c r="T20" s="19"/>
      <c r="U20" s="19"/>
      <c r="V20" s="19"/>
      <c r="W20" s="19"/>
      <c r="X20" s="19"/>
    </row>
    <row r="21" spans="1:24" s="379" customFormat="1" x14ac:dyDescent="0.2">
      <c r="A21" s="383" t="s">
        <v>199</v>
      </c>
      <c r="B21" s="384" t="s">
        <v>133</v>
      </c>
      <c r="C21" s="412">
        <v>915</v>
      </c>
      <c r="D21" s="412">
        <v>264.74023999999997</v>
      </c>
      <c r="E21" s="382">
        <f t="shared" si="0"/>
        <v>28.933359562841527</v>
      </c>
      <c r="F21" s="19"/>
      <c r="G21" s="19"/>
      <c r="H21" s="19"/>
      <c r="I21" s="19"/>
      <c r="J21" s="19"/>
      <c r="K21" s="19"/>
      <c r="L21" s="19"/>
      <c r="M21" s="19"/>
      <c r="N21" s="19"/>
      <c r="O21" s="19"/>
      <c r="P21" s="19"/>
      <c r="Q21" s="19"/>
      <c r="R21" s="19"/>
      <c r="S21" s="19"/>
      <c r="T21" s="19"/>
      <c r="U21" s="19"/>
      <c r="V21" s="19"/>
      <c r="W21" s="19"/>
      <c r="X21" s="19"/>
    </row>
    <row r="22" spans="1:24" s="379" customFormat="1" x14ac:dyDescent="0.2">
      <c r="A22" s="383" t="s">
        <v>200</v>
      </c>
      <c r="B22" s="384" t="s">
        <v>134</v>
      </c>
      <c r="C22" s="412">
        <v>324</v>
      </c>
      <c r="D22" s="412">
        <v>1.01606</v>
      </c>
      <c r="E22" s="382">
        <f t="shared" si="0"/>
        <v>0.31359876543209875</v>
      </c>
      <c r="F22" s="19"/>
      <c r="G22" s="19"/>
      <c r="H22" s="19"/>
      <c r="I22" s="19"/>
      <c r="J22" s="19"/>
      <c r="K22" s="19"/>
      <c r="L22" s="19"/>
      <c r="M22" s="19"/>
      <c r="N22" s="19"/>
      <c r="O22" s="19"/>
      <c r="P22" s="19"/>
      <c r="Q22" s="19"/>
      <c r="R22" s="19"/>
      <c r="S22" s="19"/>
      <c r="T22" s="19"/>
      <c r="U22" s="19"/>
      <c r="V22" s="19"/>
      <c r="W22" s="19"/>
      <c r="X22" s="19"/>
    </row>
    <row r="23" spans="1:24" s="379" customFormat="1" ht="30" x14ac:dyDescent="0.2">
      <c r="A23" s="383" t="s">
        <v>201</v>
      </c>
      <c r="B23" s="384" t="s">
        <v>135</v>
      </c>
      <c r="C23" s="412">
        <v>180</v>
      </c>
      <c r="D23" s="412">
        <v>29.378</v>
      </c>
      <c r="E23" s="382">
        <f t="shared" si="0"/>
        <v>16.321111111111112</v>
      </c>
      <c r="F23" s="19"/>
      <c r="G23" s="19"/>
      <c r="H23" s="19"/>
      <c r="I23" s="19"/>
      <c r="J23" s="19"/>
      <c r="K23" s="19"/>
      <c r="L23" s="19"/>
      <c r="M23" s="19"/>
      <c r="N23" s="19"/>
      <c r="O23" s="19"/>
      <c r="P23" s="19"/>
      <c r="Q23" s="19"/>
      <c r="R23" s="19"/>
      <c r="S23" s="19"/>
      <c r="T23" s="19"/>
      <c r="U23" s="19"/>
      <c r="V23" s="19"/>
      <c r="W23" s="19"/>
      <c r="X23" s="19"/>
    </row>
    <row r="24" spans="1:24" s="379" customFormat="1" ht="14.25" x14ac:dyDescent="0.2">
      <c r="A24" s="380" t="s">
        <v>202</v>
      </c>
      <c r="B24" s="381" t="s">
        <v>136</v>
      </c>
      <c r="C24" s="411">
        <f>+C25+C26+C27</f>
        <v>3217</v>
      </c>
      <c r="D24" s="411">
        <f>+D25+D26+D27</f>
        <v>736.91068999999993</v>
      </c>
      <c r="E24" s="382">
        <f t="shared" si="0"/>
        <v>22.906766863537456</v>
      </c>
      <c r="F24" s="19"/>
      <c r="G24" s="19"/>
      <c r="H24" s="19"/>
      <c r="I24" s="19"/>
      <c r="J24" s="19"/>
      <c r="K24" s="19"/>
      <c r="L24" s="19"/>
      <c r="M24" s="19"/>
      <c r="N24" s="19"/>
      <c r="O24" s="19"/>
      <c r="P24" s="19"/>
      <c r="Q24" s="19"/>
      <c r="R24" s="19"/>
      <c r="S24" s="19"/>
      <c r="T24" s="19"/>
      <c r="U24" s="19"/>
      <c r="V24" s="19"/>
      <c r="W24" s="19"/>
      <c r="X24" s="19"/>
    </row>
    <row r="25" spans="1:24" s="379" customFormat="1" x14ac:dyDescent="0.2">
      <c r="A25" s="385" t="s">
        <v>656</v>
      </c>
      <c r="B25" s="384" t="s">
        <v>657</v>
      </c>
      <c r="C25" s="412">
        <v>597</v>
      </c>
      <c r="D25" s="412">
        <v>61.79092</v>
      </c>
      <c r="E25" s="382">
        <f t="shared" si="0"/>
        <v>10.350237855946398</v>
      </c>
      <c r="F25" s="19"/>
      <c r="G25" s="19"/>
      <c r="H25" s="19"/>
      <c r="I25" s="19"/>
      <c r="J25" s="19"/>
      <c r="K25" s="19"/>
      <c r="L25" s="19"/>
      <c r="M25" s="19"/>
      <c r="N25" s="19"/>
    </row>
    <row r="26" spans="1:24" s="388" customFormat="1" ht="16.5" customHeight="1" x14ac:dyDescent="0.25">
      <c r="A26" s="385" t="s">
        <v>656</v>
      </c>
      <c r="B26" s="386" t="s">
        <v>137</v>
      </c>
      <c r="C26" s="413">
        <v>1600</v>
      </c>
      <c r="D26" s="412">
        <v>414.17052999999999</v>
      </c>
      <c r="E26" s="387">
        <f t="shared" si="0"/>
        <v>25.885658124999999</v>
      </c>
    </row>
    <row r="27" spans="1:24" s="388" customFormat="1" ht="16.5" customHeight="1" x14ac:dyDescent="0.25">
      <c r="A27" s="385" t="s">
        <v>658</v>
      </c>
      <c r="B27" s="386" t="s">
        <v>659</v>
      </c>
      <c r="C27" s="413">
        <v>1020</v>
      </c>
      <c r="D27" s="413">
        <f>220.81712+40.13212</f>
        <v>260.94923999999997</v>
      </c>
      <c r="E27" s="387">
        <f t="shared" si="0"/>
        <v>25.583258823529409</v>
      </c>
    </row>
    <row r="28" spans="1:24" s="379" customFormat="1" ht="28.5" hidden="1" x14ac:dyDescent="0.2">
      <c r="A28" s="380" t="s">
        <v>204</v>
      </c>
      <c r="B28" s="381" t="s">
        <v>205</v>
      </c>
      <c r="C28" s="411">
        <f>C29+C30</f>
        <v>0</v>
      </c>
      <c r="D28" s="411">
        <f>D29+D30</f>
        <v>0</v>
      </c>
      <c r="E28" s="382" t="e">
        <f t="shared" si="0"/>
        <v>#DIV/0!</v>
      </c>
      <c r="F28" s="19"/>
      <c r="G28" s="19"/>
      <c r="H28" s="19"/>
      <c r="I28" s="19"/>
      <c r="J28" s="19"/>
      <c r="K28" s="19"/>
      <c r="L28" s="19"/>
      <c r="M28" s="19"/>
      <c r="N28" s="19"/>
    </row>
    <row r="29" spans="1:24" s="379" customFormat="1" hidden="1" x14ac:dyDescent="0.2">
      <c r="A29" s="383" t="s">
        <v>206</v>
      </c>
      <c r="B29" s="384" t="s">
        <v>207</v>
      </c>
      <c r="C29" s="412"/>
      <c r="D29" s="412"/>
      <c r="E29" s="382" t="e">
        <f t="shared" si="0"/>
        <v>#DIV/0!</v>
      </c>
      <c r="F29" s="19"/>
      <c r="G29" s="19"/>
      <c r="H29" s="19"/>
      <c r="I29" s="19"/>
      <c r="J29" s="19"/>
      <c r="K29" s="19"/>
      <c r="L29" s="19"/>
      <c r="M29" s="19"/>
      <c r="N29" s="19"/>
    </row>
    <row r="30" spans="1:24" s="379" customFormat="1" ht="30" hidden="1" x14ac:dyDescent="0.2">
      <c r="A30" s="383" t="s">
        <v>208</v>
      </c>
      <c r="B30" s="389" t="s">
        <v>209</v>
      </c>
      <c r="C30" s="412"/>
      <c r="D30" s="412"/>
      <c r="E30" s="382" t="e">
        <f t="shared" si="0"/>
        <v>#DIV/0!</v>
      </c>
      <c r="F30" s="19"/>
      <c r="G30" s="19"/>
      <c r="H30" s="19"/>
      <c r="I30" s="19"/>
      <c r="J30" s="19"/>
      <c r="K30" s="19"/>
      <c r="L30" s="19"/>
      <c r="M30" s="19"/>
      <c r="N30" s="19"/>
    </row>
    <row r="31" spans="1:24" s="379" customFormat="1" x14ac:dyDescent="0.2">
      <c r="A31" s="380" t="s">
        <v>210</v>
      </c>
      <c r="B31" s="390" t="s">
        <v>138</v>
      </c>
      <c r="C31" s="412">
        <v>900</v>
      </c>
      <c r="D31" s="412">
        <v>231.07193000000001</v>
      </c>
      <c r="E31" s="382">
        <f t="shared" si="0"/>
        <v>25.674658888888892</v>
      </c>
      <c r="F31" s="19"/>
      <c r="G31" s="19"/>
      <c r="H31" s="19"/>
      <c r="I31" s="19"/>
      <c r="J31" s="19"/>
      <c r="K31" s="19"/>
      <c r="L31" s="19"/>
      <c r="M31" s="19"/>
      <c r="N31" s="19"/>
    </row>
    <row r="32" spans="1:24" s="379" customFormat="1" ht="42.75" x14ac:dyDescent="0.2">
      <c r="A32" s="380" t="s">
        <v>211</v>
      </c>
      <c r="B32" s="390" t="s">
        <v>139</v>
      </c>
      <c r="C32" s="411">
        <f>C33+C34</f>
        <v>1050</v>
      </c>
      <c r="D32" s="411">
        <f>D33+D34</f>
        <v>176.53818000000001</v>
      </c>
      <c r="E32" s="382">
        <f t="shared" si="0"/>
        <v>16.813160000000003</v>
      </c>
      <c r="F32" s="19"/>
      <c r="G32" s="19"/>
      <c r="H32" s="19"/>
      <c r="I32" s="19"/>
      <c r="J32" s="19"/>
      <c r="K32" s="19"/>
      <c r="L32" s="19"/>
      <c r="M32" s="19"/>
      <c r="N32" s="19"/>
    </row>
    <row r="33" spans="1:14" s="379" customFormat="1" ht="75" x14ac:dyDescent="0.2">
      <c r="A33" s="383" t="s">
        <v>307</v>
      </c>
      <c r="B33" s="389" t="s">
        <v>305</v>
      </c>
      <c r="C33" s="414">
        <v>450</v>
      </c>
      <c r="D33" s="414">
        <v>108.23994</v>
      </c>
      <c r="E33" s="382">
        <f t="shared" si="0"/>
        <v>24.053319999999999</v>
      </c>
      <c r="F33" s="19"/>
      <c r="G33" s="19"/>
      <c r="H33" s="19"/>
      <c r="I33" s="19"/>
      <c r="J33" s="19"/>
      <c r="K33" s="19"/>
      <c r="L33" s="19"/>
      <c r="M33" s="19"/>
      <c r="N33" s="19"/>
    </row>
    <row r="34" spans="1:14" s="379" customFormat="1" ht="60" x14ac:dyDescent="0.2">
      <c r="A34" s="391" t="s">
        <v>308</v>
      </c>
      <c r="B34" s="389" t="s">
        <v>306</v>
      </c>
      <c r="C34" s="414">
        <v>600</v>
      </c>
      <c r="D34" s="414">
        <v>68.298240000000007</v>
      </c>
      <c r="E34" s="382">
        <f t="shared" si="0"/>
        <v>11.383040000000001</v>
      </c>
      <c r="F34" s="19"/>
      <c r="G34" s="19"/>
      <c r="H34" s="19"/>
      <c r="I34" s="19"/>
      <c r="J34" s="19"/>
      <c r="K34" s="19"/>
      <c r="L34" s="19"/>
      <c r="M34" s="19"/>
      <c r="N34" s="19"/>
    </row>
    <row r="35" spans="1:14" s="379" customFormat="1" ht="28.5" x14ac:dyDescent="0.2">
      <c r="A35" s="380" t="s">
        <v>212</v>
      </c>
      <c r="B35" s="390" t="s">
        <v>213</v>
      </c>
      <c r="C35" s="415">
        <f>C36+C37</f>
        <v>454</v>
      </c>
      <c r="D35" s="415">
        <f>D36+D37</f>
        <v>320.88923</v>
      </c>
      <c r="E35" s="382">
        <f t="shared" si="0"/>
        <v>70.68044713656387</v>
      </c>
      <c r="F35" s="19"/>
      <c r="G35" s="19"/>
      <c r="H35" s="19"/>
      <c r="I35" s="19"/>
      <c r="J35" s="19"/>
      <c r="K35" s="19"/>
      <c r="L35" s="19"/>
      <c r="M35" s="19"/>
      <c r="N35" s="19"/>
    </row>
    <row r="36" spans="1:14" s="379" customFormat="1" ht="30" x14ac:dyDescent="0.2">
      <c r="A36" s="383" t="s">
        <v>214</v>
      </c>
      <c r="B36" s="389" t="s">
        <v>215</v>
      </c>
      <c r="C36" s="415">
        <v>454</v>
      </c>
      <c r="D36" s="414">
        <f>208.15891+112.73032</f>
        <v>320.88923</v>
      </c>
      <c r="E36" s="382">
        <f t="shared" si="0"/>
        <v>70.68044713656387</v>
      </c>
      <c r="F36" s="19"/>
      <c r="G36" s="19"/>
      <c r="H36" s="19"/>
      <c r="I36" s="19"/>
      <c r="J36" s="19"/>
      <c r="K36" s="19"/>
      <c r="L36" s="19"/>
      <c r="M36" s="19"/>
      <c r="N36" s="19"/>
    </row>
    <row r="37" spans="1:14" s="379" customFormat="1" hidden="1" x14ac:dyDescent="0.2">
      <c r="A37" s="383" t="s">
        <v>216</v>
      </c>
      <c r="B37" s="389" t="s">
        <v>217</v>
      </c>
      <c r="C37" s="415"/>
      <c r="D37" s="415"/>
      <c r="E37" s="382" t="e">
        <f t="shared" si="0"/>
        <v>#DIV/0!</v>
      </c>
      <c r="F37" s="19"/>
      <c r="G37" s="19"/>
      <c r="H37" s="19"/>
      <c r="I37" s="19"/>
      <c r="J37" s="19"/>
      <c r="K37" s="19"/>
      <c r="L37" s="19"/>
      <c r="M37" s="19"/>
      <c r="N37" s="19"/>
    </row>
    <row r="38" spans="1:14" s="379" customFormat="1" ht="28.5" x14ac:dyDescent="0.2">
      <c r="A38" s="380" t="s">
        <v>218</v>
      </c>
      <c r="B38" s="390" t="s">
        <v>219</v>
      </c>
      <c r="C38" s="415">
        <f>C39+C40</f>
        <v>65</v>
      </c>
      <c r="D38" s="415">
        <f>D39+D40</f>
        <v>74</v>
      </c>
      <c r="E38" s="382">
        <f t="shared" si="0"/>
        <v>113.84615384615384</v>
      </c>
      <c r="F38" s="19"/>
      <c r="G38" s="19"/>
      <c r="H38" s="19"/>
      <c r="I38" s="19"/>
      <c r="J38" s="19"/>
      <c r="K38" s="19"/>
      <c r="L38" s="19"/>
      <c r="M38" s="19"/>
      <c r="N38" s="19"/>
    </row>
    <row r="39" spans="1:14" s="379" customFormat="1" ht="30" hidden="1" x14ac:dyDescent="0.2">
      <c r="A39" s="383" t="s">
        <v>220</v>
      </c>
      <c r="B39" s="389" t="s">
        <v>221</v>
      </c>
      <c r="C39" s="414"/>
      <c r="D39" s="414"/>
      <c r="E39" s="382" t="e">
        <f t="shared" si="0"/>
        <v>#DIV/0!</v>
      </c>
      <c r="F39" s="19"/>
      <c r="G39" s="19"/>
      <c r="H39" s="19"/>
      <c r="I39" s="19"/>
      <c r="J39" s="19"/>
      <c r="K39" s="19"/>
      <c r="L39" s="19"/>
      <c r="M39" s="19"/>
      <c r="N39" s="19"/>
    </row>
    <row r="40" spans="1:14" s="379" customFormat="1" ht="30" x14ac:dyDescent="0.2">
      <c r="A40" s="383" t="s">
        <v>222</v>
      </c>
      <c r="B40" s="389" t="s">
        <v>223</v>
      </c>
      <c r="C40" s="414">
        <v>65</v>
      </c>
      <c r="D40" s="414">
        <v>74</v>
      </c>
      <c r="E40" s="382">
        <f t="shared" si="0"/>
        <v>113.84615384615384</v>
      </c>
      <c r="F40" s="19"/>
      <c r="G40" s="19"/>
      <c r="H40" s="19"/>
      <c r="I40" s="19"/>
      <c r="J40" s="19"/>
      <c r="K40" s="19"/>
      <c r="L40" s="19"/>
      <c r="M40" s="19"/>
      <c r="N40" s="19"/>
    </row>
    <row r="41" spans="1:14" s="379" customFormat="1" ht="28.5" x14ac:dyDescent="0.2">
      <c r="A41" s="380" t="s">
        <v>140</v>
      </c>
      <c r="B41" s="390" t="s">
        <v>141</v>
      </c>
      <c r="C41" s="415">
        <f>C42</f>
        <v>150</v>
      </c>
      <c r="D41" s="415">
        <f>D42</f>
        <v>26.17792</v>
      </c>
      <c r="E41" s="382">
        <f t="shared" si="0"/>
        <v>17.451946666666668</v>
      </c>
      <c r="F41" s="19"/>
      <c r="G41" s="19"/>
      <c r="H41" s="19"/>
      <c r="I41" s="19"/>
      <c r="J41" s="19"/>
      <c r="K41" s="19"/>
      <c r="L41" s="19"/>
      <c r="M41" s="19"/>
      <c r="N41" s="19"/>
    </row>
    <row r="42" spans="1:14" s="379" customFormat="1" ht="30" x14ac:dyDescent="0.2">
      <c r="A42" s="391">
        <v>1.14060000000004E+16</v>
      </c>
      <c r="B42" s="389" t="s">
        <v>224</v>
      </c>
      <c r="C42" s="414">
        <v>150</v>
      </c>
      <c r="D42" s="414">
        <v>26.17792</v>
      </c>
      <c r="E42" s="382">
        <f t="shared" si="0"/>
        <v>17.451946666666668</v>
      </c>
      <c r="F42" s="19"/>
      <c r="G42" s="19"/>
      <c r="H42" s="19"/>
      <c r="I42" s="19"/>
      <c r="J42" s="19"/>
      <c r="K42" s="19"/>
      <c r="L42" s="19"/>
      <c r="M42" s="19"/>
      <c r="N42" s="19"/>
    </row>
    <row r="43" spans="1:14" s="379" customFormat="1" ht="14.25" x14ac:dyDescent="0.2">
      <c r="A43" s="380" t="s">
        <v>225</v>
      </c>
      <c r="B43" s="390" t="s">
        <v>142</v>
      </c>
      <c r="C43" s="415">
        <v>411</v>
      </c>
      <c r="D43" s="415">
        <f>3+16.72+0.8</f>
        <v>20.52</v>
      </c>
      <c r="E43" s="382">
        <f t="shared" si="0"/>
        <v>4.992700729927007</v>
      </c>
      <c r="F43" s="19"/>
      <c r="G43" s="19"/>
      <c r="H43" s="19"/>
      <c r="I43" s="19"/>
      <c r="J43" s="19"/>
      <c r="K43" s="19"/>
      <c r="L43" s="19"/>
      <c r="M43" s="19"/>
      <c r="N43" s="19"/>
    </row>
    <row r="44" spans="1:14" s="379" customFormat="1" ht="14.25" x14ac:dyDescent="0.2">
      <c r="A44" s="380" t="s">
        <v>143</v>
      </c>
      <c r="B44" s="392" t="s">
        <v>144</v>
      </c>
      <c r="C44" s="415">
        <f>C45</f>
        <v>440</v>
      </c>
      <c r="D44" s="415">
        <f>D45</f>
        <v>83.488529999999997</v>
      </c>
      <c r="E44" s="382">
        <f t="shared" si="0"/>
        <v>18.974665909090909</v>
      </c>
      <c r="F44" s="19"/>
      <c r="G44" s="19"/>
      <c r="H44" s="19"/>
      <c r="I44" s="19"/>
      <c r="J44" s="19"/>
      <c r="K44" s="19"/>
      <c r="L44" s="19"/>
      <c r="M44" s="19"/>
      <c r="N44" s="19"/>
    </row>
    <row r="45" spans="1:14" s="379" customFormat="1" x14ac:dyDescent="0.2">
      <c r="A45" s="383" t="s">
        <v>226</v>
      </c>
      <c r="B45" s="393" t="s">
        <v>227</v>
      </c>
      <c r="C45" s="415">
        <v>440</v>
      </c>
      <c r="D45" s="415">
        <f>38.63853+44.85</f>
        <v>83.488529999999997</v>
      </c>
      <c r="E45" s="382">
        <f t="shared" si="0"/>
        <v>18.974665909090909</v>
      </c>
      <c r="F45" s="19"/>
      <c r="G45" s="19"/>
      <c r="H45" s="19"/>
      <c r="I45" s="19"/>
      <c r="J45" s="19"/>
      <c r="K45" s="19"/>
      <c r="L45" s="19"/>
      <c r="M45" s="19"/>
      <c r="N45" s="19"/>
    </row>
    <row r="46" spans="1:14" s="118" customFormat="1" ht="14.25" x14ac:dyDescent="0.2">
      <c r="A46" s="399" t="s">
        <v>228</v>
      </c>
      <c r="B46" s="400" t="s">
        <v>145</v>
      </c>
      <c r="C46" s="394">
        <f>C47</f>
        <v>491826.91579999996</v>
      </c>
      <c r="D46" s="394">
        <f>D47</f>
        <v>127977.88427000001</v>
      </c>
      <c r="E46" s="95">
        <f>+D46/C46*100</f>
        <v>26.020919180853021</v>
      </c>
      <c r="F46" s="19"/>
      <c r="G46" s="19"/>
      <c r="H46" s="19"/>
      <c r="I46" s="19"/>
      <c r="J46" s="19"/>
      <c r="K46" s="19"/>
      <c r="L46" s="19"/>
      <c r="M46" s="19"/>
      <c r="N46" s="19"/>
    </row>
    <row r="47" spans="1:14" s="119" customFormat="1" ht="30" x14ac:dyDescent="0.2">
      <c r="A47" s="401" t="s">
        <v>229</v>
      </c>
      <c r="B47" s="402" t="s">
        <v>230</v>
      </c>
      <c r="C47" s="395">
        <f>C48+C51+C68+C92</f>
        <v>491826.91579999996</v>
      </c>
      <c r="D47" s="395">
        <f>D48+D51+D68+D92+D95</f>
        <v>127977.88427000001</v>
      </c>
      <c r="E47" s="95">
        <f t="shared" ref="E47:E96" si="1">+D47/C47*100</f>
        <v>26.020919180853021</v>
      </c>
      <c r="F47" s="19"/>
      <c r="G47" s="19"/>
      <c r="H47" s="19"/>
      <c r="I47" s="19"/>
      <c r="J47" s="19"/>
      <c r="K47" s="19"/>
      <c r="L47" s="19"/>
      <c r="M47" s="19"/>
      <c r="N47" s="19"/>
    </row>
    <row r="48" spans="1:14" s="122" customFormat="1" ht="28.5" customHeight="1" x14ac:dyDescent="0.2">
      <c r="A48" s="403" t="s">
        <v>231</v>
      </c>
      <c r="B48" s="404" t="s">
        <v>232</v>
      </c>
      <c r="C48" s="394">
        <f>C49+C50</f>
        <v>159016.4</v>
      </c>
      <c r="D48" s="394">
        <f>D49+D50</f>
        <v>42702.733999999997</v>
      </c>
      <c r="E48" s="95">
        <f t="shared" si="1"/>
        <v>26.854295531781624</v>
      </c>
      <c r="F48" s="55">
        <f>C48-E48</f>
        <v>158989.54570446821</v>
      </c>
      <c r="G48" s="19"/>
      <c r="H48" s="19"/>
      <c r="I48" s="19"/>
      <c r="J48" s="19"/>
      <c r="K48" s="19"/>
      <c r="L48" s="19"/>
      <c r="M48" s="19"/>
      <c r="N48" s="19"/>
    </row>
    <row r="49" spans="1:14" s="119" customFormat="1" ht="30" x14ac:dyDescent="0.2">
      <c r="A49" s="401" t="s">
        <v>233</v>
      </c>
      <c r="B49" s="402" t="s">
        <v>146</v>
      </c>
      <c r="C49" s="395">
        <v>148976.5</v>
      </c>
      <c r="D49" s="395">
        <v>40083.733999999997</v>
      </c>
      <c r="E49" s="95">
        <f t="shared" si="1"/>
        <v>26.906078475464252</v>
      </c>
      <c r="F49" s="19">
        <f>E49-C49</f>
        <v>-148949.59392152453</v>
      </c>
      <c r="G49" s="19"/>
      <c r="H49" s="19"/>
      <c r="I49" s="19"/>
      <c r="J49" s="19"/>
      <c r="K49" s="19"/>
      <c r="L49" s="19"/>
      <c r="M49" s="19"/>
      <c r="N49" s="19"/>
    </row>
    <row r="50" spans="1:14" s="119" customFormat="1" ht="30" x14ac:dyDescent="0.2">
      <c r="A50" s="401" t="s">
        <v>234</v>
      </c>
      <c r="B50" s="402" t="s">
        <v>235</v>
      </c>
      <c r="C50" s="395">
        <v>10039.9</v>
      </c>
      <c r="D50" s="395">
        <v>2619</v>
      </c>
      <c r="E50" s="95">
        <f t="shared" si="1"/>
        <v>26.085917190410264</v>
      </c>
      <c r="F50" s="19"/>
      <c r="G50" s="19"/>
      <c r="H50" s="19"/>
      <c r="I50" s="19"/>
      <c r="J50" s="19"/>
      <c r="K50" s="19"/>
      <c r="L50" s="19"/>
      <c r="M50" s="19"/>
      <c r="N50" s="19"/>
    </row>
    <row r="51" spans="1:14" s="122" customFormat="1" ht="38.25" customHeight="1" x14ac:dyDescent="0.2">
      <c r="A51" s="403" t="s">
        <v>236</v>
      </c>
      <c r="B51" s="404" t="s">
        <v>157</v>
      </c>
      <c r="C51" s="394">
        <f>SUM(C52:C59)</f>
        <v>27429.015799999997</v>
      </c>
      <c r="D51" s="394">
        <f>SUM(D52:D59)</f>
        <v>3540</v>
      </c>
      <c r="E51" s="95">
        <f t="shared" si="1"/>
        <v>12.906040908693489</v>
      </c>
      <c r="F51" s="19"/>
      <c r="G51" s="19"/>
      <c r="H51" s="19"/>
      <c r="I51" s="19"/>
      <c r="J51" s="19"/>
      <c r="K51" s="19"/>
      <c r="L51" s="19"/>
      <c r="M51" s="19"/>
      <c r="N51" s="19"/>
    </row>
    <row r="52" spans="1:14" s="122" customFormat="1" ht="60.75" customHeight="1" x14ac:dyDescent="0.2">
      <c r="A52" s="405" t="s">
        <v>252</v>
      </c>
      <c r="B52" s="406" t="s">
        <v>147</v>
      </c>
      <c r="C52" s="395">
        <v>6280.8</v>
      </c>
      <c r="D52" s="395"/>
      <c r="E52" s="95">
        <f t="shared" si="1"/>
        <v>0</v>
      </c>
      <c r="F52" s="19"/>
      <c r="G52" s="19"/>
      <c r="H52" s="19"/>
      <c r="I52" s="19"/>
      <c r="J52" s="19"/>
      <c r="K52" s="19"/>
      <c r="L52" s="19"/>
      <c r="M52" s="19"/>
      <c r="N52" s="19"/>
    </row>
    <row r="53" spans="1:14" s="122" customFormat="1" ht="78" customHeight="1" x14ac:dyDescent="0.2">
      <c r="A53" s="405" t="s">
        <v>252</v>
      </c>
      <c r="B53" s="406" t="s">
        <v>111</v>
      </c>
      <c r="C53" s="395">
        <v>11086.7</v>
      </c>
      <c r="D53" s="395">
        <v>3540</v>
      </c>
      <c r="E53" s="95">
        <f t="shared" si="1"/>
        <v>31.930150540738001</v>
      </c>
      <c r="F53" s="19"/>
      <c r="G53" s="19"/>
      <c r="H53" s="19"/>
      <c r="I53" s="19"/>
      <c r="J53" s="19"/>
      <c r="K53" s="19"/>
      <c r="L53" s="19"/>
      <c r="M53" s="19"/>
      <c r="N53" s="19"/>
    </row>
    <row r="54" spans="1:14" s="122" customFormat="1" ht="60" x14ac:dyDescent="0.2">
      <c r="A54" s="401" t="s">
        <v>537</v>
      </c>
      <c r="B54" s="407" t="s">
        <v>538</v>
      </c>
      <c r="C54" s="395">
        <v>1030</v>
      </c>
      <c r="D54" s="395"/>
      <c r="E54" s="95">
        <f t="shared" si="1"/>
        <v>0</v>
      </c>
      <c r="F54" s="19"/>
      <c r="G54" s="19"/>
      <c r="H54" s="19"/>
      <c r="I54" s="19"/>
      <c r="J54" s="19"/>
      <c r="K54" s="19"/>
      <c r="L54" s="19"/>
      <c r="M54" s="19"/>
      <c r="N54" s="19"/>
    </row>
    <row r="55" spans="1:14" s="122" customFormat="1" ht="45" x14ac:dyDescent="0.2">
      <c r="A55" s="405" t="s">
        <v>237</v>
      </c>
      <c r="B55" s="406" t="s">
        <v>158</v>
      </c>
      <c r="C55" s="395">
        <v>2315.8000000000002</v>
      </c>
      <c r="D55" s="395"/>
      <c r="E55" s="95">
        <f t="shared" si="1"/>
        <v>0</v>
      </c>
      <c r="F55" s="19"/>
      <c r="G55" s="19"/>
      <c r="H55" s="19"/>
      <c r="I55" s="19"/>
      <c r="J55" s="19"/>
      <c r="K55" s="19"/>
      <c r="L55" s="19"/>
      <c r="M55" s="19"/>
      <c r="N55" s="19"/>
    </row>
    <row r="56" spans="1:14" s="122" customFormat="1" ht="30" x14ac:dyDescent="0.2">
      <c r="A56" s="401" t="s">
        <v>540</v>
      </c>
      <c r="B56" s="406" t="s">
        <v>541</v>
      </c>
      <c r="C56" s="395">
        <v>3371.3</v>
      </c>
      <c r="D56" s="395"/>
      <c r="E56" s="95">
        <f t="shared" si="1"/>
        <v>0</v>
      </c>
      <c r="F56" s="19"/>
      <c r="G56" s="19"/>
      <c r="H56" s="19"/>
      <c r="I56" s="19"/>
      <c r="J56" s="19"/>
      <c r="K56" s="19"/>
      <c r="L56" s="19"/>
      <c r="M56" s="19"/>
      <c r="N56" s="19"/>
    </row>
    <row r="57" spans="1:14" s="122" customFormat="1" ht="30" x14ac:dyDescent="0.2">
      <c r="A57" s="405" t="s">
        <v>534</v>
      </c>
      <c r="B57" s="406" t="s">
        <v>535</v>
      </c>
      <c r="C57" s="395">
        <v>2225.1</v>
      </c>
      <c r="D57" s="395"/>
      <c r="E57" s="95">
        <f t="shared" si="1"/>
        <v>0</v>
      </c>
      <c r="F57" s="19"/>
      <c r="G57" s="19"/>
      <c r="H57" s="19"/>
      <c r="I57" s="19"/>
      <c r="J57" s="19"/>
      <c r="K57" s="19"/>
      <c r="L57" s="19"/>
      <c r="M57" s="19"/>
      <c r="N57" s="19"/>
    </row>
    <row r="58" spans="1:14" s="122" customFormat="1" ht="30" x14ac:dyDescent="0.2">
      <c r="A58" s="405" t="s">
        <v>238</v>
      </c>
      <c r="B58" s="406" t="s">
        <v>542</v>
      </c>
      <c r="C58" s="395">
        <v>1113</v>
      </c>
      <c r="D58" s="395"/>
      <c r="E58" s="95">
        <f t="shared" si="1"/>
        <v>0</v>
      </c>
      <c r="F58" s="19"/>
      <c r="G58" s="19"/>
      <c r="H58" s="19"/>
      <c r="I58" s="19"/>
      <c r="J58" s="19"/>
      <c r="K58" s="19"/>
      <c r="L58" s="19"/>
      <c r="M58" s="19"/>
      <c r="N58" s="19"/>
    </row>
    <row r="59" spans="1:14" s="122" customFormat="1" ht="45.75" customHeight="1" x14ac:dyDescent="0.2">
      <c r="A59" s="405" t="s">
        <v>244</v>
      </c>
      <c r="B59" s="406" t="s">
        <v>539</v>
      </c>
      <c r="C59" s="395">
        <v>6.3158000000000003</v>
      </c>
      <c r="D59" s="395"/>
      <c r="E59" s="95">
        <f t="shared" si="1"/>
        <v>0</v>
      </c>
      <c r="F59" s="19"/>
      <c r="G59" s="19"/>
      <c r="H59" s="19"/>
      <c r="I59" s="19"/>
      <c r="J59" s="19"/>
      <c r="K59" s="19"/>
      <c r="L59" s="19"/>
      <c r="M59" s="19"/>
      <c r="N59" s="19"/>
    </row>
    <row r="60" spans="1:14" s="122" customFormat="1" ht="31.5" hidden="1" customHeight="1" x14ac:dyDescent="0.2">
      <c r="A60" s="405" t="s">
        <v>238</v>
      </c>
      <c r="B60" s="406" t="s">
        <v>239</v>
      </c>
      <c r="C60" s="395"/>
      <c r="D60" s="395"/>
      <c r="E60" s="95" t="e">
        <f t="shared" si="1"/>
        <v>#DIV/0!</v>
      </c>
      <c r="F60" s="19"/>
      <c r="G60" s="19"/>
      <c r="H60" s="19"/>
      <c r="I60" s="19"/>
      <c r="J60" s="19"/>
      <c r="K60" s="19"/>
      <c r="L60" s="19"/>
      <c r="M60" s="19"/>
      <c r="N60" s="19"/>
    </row>
    <row r="61" spans="1:14" s="122" customFormat="1" ht="45" hidden="1" x14ac:dyDescent="0.2">
      <c r="A61" s="405" t="s">
        <v>240</v>
      </c>
      <c r="B61" s="406" t="s">
        <v>241</v>
      </c>
      <c r="C61" s="395"/>
      <c r="D61" s="395"/>
      <c r="E61" s="95" t="e">
        <f t="shared" si="1"/>
        <v>#DIV/0!</v>
      </c>
      <c r="F61" s="19"/>
      <c r="G61" s="19"/>
      <c r="H61" s="19"/>
      <c r="I61" s="19"/>
      <c r="J61" s="19"/>
      <c r="K61" s="19"/>
      <c r="L61" s="19"/>
      <c r="M61" s="19"/>
      <c r="N61" s="19"/>
    </row>
    <row r="62" spans="1:14" s="122" customFormat="1" ht="45" hidden="1" x14ac:dyDescent="0.2">
      <c r="A62" s="405" t="s">
        <v>242</v>
      </c>
      <c r="B62" s="406" t="s">
        <v>243</v>
      </c>
      <c r="C62" s="395"/>
      <c r="D62" s="395"/>
      <c r="E62" s="95" t="e">
        <f t="shared" si="1"/>
        <v>#DIV/0!</v>
      </c>
      <c r="F62" s="19"/>
      <c r="G62" s="19"/>
      <c r="H62" s="19"/>
      <c r="I62" s="19"/>
      <c r="J62" s="19"/>
      <c r="K62" s="19"/>
      <c r="L62" s="19"/>
      <c r="M62" s="19"/>
      <c r="N62" s="19"/>
    </row>
    <row r="63" spans="1:14" s="122" customFormat="1" ht="30" hidden="1" x14ac:dyDescent="0.2">
      <c r="A63" s="401" t="s">
        <v>244</v>
      </c>
      <c r="B63" s="407" t="s">
        <v>245</v>
      </c>
      <c r="C63" s="395"/>
      <c r="D63" s="395"/>
      <c r="E63" s="95" t="e">
        <f t="shared" si="1"/>
        <v>#DIV/0!</v>
      </c>
      <c r="F63" s="19"/>
      <c r="G63" s="19"/>
      <c r="H63" s="19"/>
      <c r="I63" s="19"/>
      <c r="J63" s="19"/>
      <c r="K63" s="19"/>
      <c r="L63" s="19"/>
      <c r="M63" s="19"/>
      <c r="N63" s="19"/>
    </row>
    <row r="64" spans="1:14" s="122" customFormat="1" ht="45" hidden="1" x14ac:dyDescent="0.2">
      <c r="A64" s="401" t="s">
        <v>246</v>
      </c>
      <c r="B64" s="407" t="s">
        <v>247</v>
      </c>
      <c r="C64" s="395"/>
      <c r="D64" s="395"/>
      <c r="E64" s="95" t="e">
        <f t="shared" si="1"/>
        <v>#DIV/0!</v>
      </c>
      <c r="F64" s="19"/>
      <c r="G64" s="19"/>
      <c r="H64" s="19"/>
      <c r="I64" s="19"/>
      <c r="J64" s="19"/>
      <c r="K64" s="19"/>
      <c r="L64" s="19"/>
      <c r="M64" s="19"/>
      <c r="N64" s="19"/>
    </row>
    <row r="65" spans="1:14" s="122" customFormat="1" ht="30" hidden="1" x14ac:dyDescent="0.2">
      <c r="A65" s="405" t="s">
        <v>248</v>
      </c>
      <c r="B65" s="406" t="s">
        <v>249</v>
      </c>
      <c r="C65" s="395"/>
      <c r="D65" s="395"/>
      <c r="E65" s="95" t="e">
        <f t="shared" si="1"/>
        <v>#DIV/0!</v>
      </c>
      <c r="F65" s="19"/>
      <c r="G65" s="19"/>
      <c r="H65" s="19"/>
      <c r="I65" s="19"/>
      <c r="J65" s="19"/>
      <c r="K65" s="19"/>
      <c r="L65" s="19"/>
      <c r="M65" s="19"/>
      <c r="N65" s="19"/>
    </row>
    <row r="66" spans="1:14" s="122" customFormat="1" ht="30" hidden="1" customHeight="1" x14ac:dyDescent="0.2">
      <c r="A66" s="405" t="s">
        <v>250</v>
      </c>
      <c r="B66" s="406" t="s">
        <v>251</v>
      </c>
      <c r="C66" s="395"/>
      <c r="D66" s="395"/>
      <c r="E66" s="95" t="e">
        <f t="shared" si="1"/>
        <v>#DIV/0!</v>
      </c>
      <c r="F66" s="19"/>
      <c r="G66" s="19"/>
      <c r="H66" s="19"/>
      <c r="I66" s="19"/>
      <c r="J66" s="19"/>
      <c r="K66" s="19"/>
      <c r="L66" s="19"/>
      <c r="M66" s="19"/>
      <c r="N66" s="19"/>
    </row>
    <row r="67" spans="1:14" s="122" customFormat="1" ht="22.5" hidden="1" customHeight="1" x14ac:dyDescent="0.2">
      <c r="A67" s="405" t="s">
        <v>252</v>
      </c>
      <c r="B67" s="406" t="s">
        <v>253</v>
      </c>
      <c r="C67" s="395"/>
      <c r="D67" s="395"/>
      <c r="E67" s="95" t="e">
        <f t="shared" si="1"/>
        <v>#DIV/0!</v>
      </c>
      <c r="F67" s="19"/>
      <c r="G67" s="19"/>
      <c r="H67" s="19"/>
      <c r="I67" s="19"/>
      <c r="J67" s="19"/>
      <c r="K67" s="19"/>
      <c r="L67" s="19"/>
      <c r="M67" s="19"/>
      <c r="N67" s="19"/>
    </row>
    <row r="68" spans="1:14" s="122" customFormat="1" ht="30" x14ac:dyDescent="0.2">
      <c r="A68" s="403" t="s">
        <v>254</v>
      </c>
      <c r="B68" s="404" t="s">
        <v>159</v>
      </c>
      <c r="C68" s="394">
        <f>SUM(C69:C91)</f>
        <v>304321.49999999994</v>
      </c>
      <c r="D68" s="394">
        <f>SUM(D69:D91)</f>
        <v>81622.412270000015</v>
      </c>
      <c r="E68" s="95">
        <f t="shared" si="1"/>
        <v>26.821112629242439</v>
      </c>
      <c r="F68" s="19"/>
      <c r="G68" s="19"/>
      <c r="H68" s="19"/>
      <c r="I68" s="19"/>
      <c r="J68" s="19"/>
      <c r="K68" s="19"/>
      <c r="L68" s="19"/>
      <c r="M68" s="19"/>
      <c r="N68" s="19"/>
    </row>
    <row r="69" spans="1:14" s="122" customFormat="1" ht="33.75" customHeight="1" x14ac:dyDescent="0.2">
      <c r="A69" s="401" t="s">
        <v>255</v>
      </c>
      <c r="B69" s="402" t="s">
        <v>310</v>
      </c>
      <c r="C69" s="395">
        <v>3480</v>
      </c>
      <c r="D69" s="395">
        <v>550</v>
      </c>
      <c r="E69" s="95">
        <f t="shared" si="1"/>
        <v>15.804597701149426</v>
      </c>
      <c r="F69" s="19"/>
      <c r="G69" s="19"/>
      <c r="H69" s="19"/>
      <c r="I69" s="19"/>
      <c r="J69" s="19"/>
      <c r="K69" s="19"/>
      <c r="L69" s="19"/>
      <c r="M69" s="19"/>
      <c r="N69" s="19"/>
    </row>
    <row r="70" spans="1:14" s="122" customFormat="1" ht="165" x14ac:dyDescent="0.2">
      <c r="A70" s="401" t="s">
        <v>288</v>
      </c>
      <c r="B70" s="402" t="s">
        <v>289</v>
      </c>
      <c r="C70" s="395">
        <v>240340.4</v>
      </c>
      <c r="D70" s="395">
        <v>66488.327000000005</v>
      </c>
      <c r="E70" s="95">
        <f t="shared" si="1"/>
        <v>27.664232480265493</v>
      </c>
      <c r="F70" s="137">
        <f>+D70+D72+D73+D74+D75+D76+D77+D78+D79+D86</f>
        <v>71156.288640000013</v>
      </c>
      <c r="G70" s="19"/>
      <c r="H70" s="19"/>
      <c r="I70" s="19"/>
      <c r="J70" s="19"/>
      <c r="K70" s="19"/>
      <c r="L70" s="19"/>
      <c r="M70" s="19"/>
      <c r="N70" s="19"/>
    </row>
    <row r="71" spans="1:14" s="122" customFormat="1" ht="45" x14ac:dyDescent="0.2">
      <c r="A71" s="401" t="s">
        <v>288</v>
      </c>
      <c r="B71" s="402" t="s">
        <v>290</v>
      </c>
      <c r="C71" s="395">
        <v>6</v>
      </c>
      <c r="D71" s="395"/>
      <c r="E71" s="95">
        <f t="shared" si="1"/>
        <v>0</v>
      </c>
      <c r="F71" s="19">
        <v>71156.288639999999</v>
      </c>
      <c r="G71" s="19"/>
      <c r="H71" s="19"/>
      <c r="I71" s="19"/>
      <c r="J71" s="19"/>
      <c r="K71" s="19"/>
      <c r="L71" s="19"/>
      <c r="M71" s="19"/>
      <c r="N71" s="19"/>
    </row>
    <row r="72" spans="1:14" s="122" customFormat="1" ht="30" x14ac:dyDescent="0.2">
      <c r="A72" s="401" t="s">
        <v>288</v>
      </c>
      <c r="B72" s="402" t="s">
        <v>291</v>
      </c>
      <c r="C72" s="395">
        <v>4407.8999999999996</v>
      </c>
      <c r="D72" s="395">
        <v>1081.8710000000001</v>
      </c>
      <c r="E72" s="95">
        <f t="shared" si="1"/>
        <v>24.543909798316662</v>
      </c>
      <c r="F72" s="137">
        <f>F70-F71</f>
        <v>0</v>
      </c>
      <c r="G72" s="19"/>
      <c r="H72" s="19"/>
      <c r="I72" s="19"/>
      <c r="J72" s="19"/>
      <c r="K72" s="19"/>
      <c r="L72" s="19"/>
      <c r="M72" s="19"/>
      <c r="N72" s="19"/>
    </row>
    <row r="73" spans="1:14" s="122" customFormat="1" ht="30" x14ac:dyDescent="0.2">
      <c r="A73" s="401" t="s">
        <v>288</v>
      </c>
      <c r="B73" s="402" t="s">
        <v>292</v>
      </c>
      <c r="C73" s="395">
        <v>4386</v>
      </c>
      <c r="D73" s="395">
        <v>1127.2629999999999</v>
      </c>
      <c r="E73" s="95">
        <f t="shared" si="1"/>
        <v>25.701390788873685</v>
      </c>
      <c r="F73" s="19"/>
      <c r="G73" s="19"/>
      <c r="H73" s="19"/>
      <c r="I73" s="19"/>
      <c r="J73" s="19"/>
      <c r="K73" s="19"/>
      <c r="L73" s="19"/>
      <c r="M73" s="19"/>
      <c r="N73" s="19"/>
    </row>
    <row r="74" spans="1:14" s="122" customFormat="1" ht="75" x14ac:dyDescent="0.2">
      <c r="A74" s="401" t="s">
        <v>288</v>
      </c>
      <c r="B74" s="402" t="s">
        <v>293</v>
      </c>
      <c r="C74" s="395">
        <v>5018.8999999999996</v>
      </c>
      <c r="D74" s="395">
        <v>1254.7239999999999</v>
      </c>
      <c r="E74" s="95">
        <f t="shared" si="1"/>
        <v>24.99998007531531</v>
      </c>
      <c r="F74" s="19"/>
      <c r="G74" s="19"/>
      <c r="H74" s="19"/>
      <c r="I74" s="19"/>
      <c r="J74" s="19"/>
      <c r="K74" s="19"/>
      <c r="L74" s="19"/>
      <c r="M74" s="19"/>
      <c r="N74" s="19"/>
    </row>
    <row r="75" spans="1:14" s="122" customFormat="1" ht="60" x14ac:dyDescent="0.2">
      <c r="A75" s="401" t="s">
        <v>288</v>
      </c>
      <c r="B75" s="402" t="s">
        <v>294</v>
      </c>
      <c r="C75" s="395">
        <v>431.2</v>
      </c>
      <c r="D75" s="395">
        <v>136.94999999999999</v>
      </c>
      <c r="E75" s="95">
        <f t="shared" si="1"/>
        <v>31.760204081632654</v>
      </c>
      <c r="F75" s="19"/>
      <c r="G75" s="19"/>
      <c r="H75" s="19"/>
      <c r="I75" s="19"/>
      <c r="J75" s="19"/>
      <c r="K75" s="19"/>
      <c r="L75" s="19"/>
      <c r="M75" s="19"/>
      <c r="N75" s="19"/>
    </row>
    <row r="76" spans="1:14" s="122" customFormat="1" ht="30" x14ac:dyDescent="0.2">
      <c r="A76" s="401" t="s">
        <v>288</v>
      </c>
      <c r="B76" s="402" t="s">
        <v>295</v>
      </c>
      <c r="C76" s="395">
        <v>74.5</v>
      </c>
      <c r="D76" s="395"/>
      <c r="E76" s="95">
        <f t="shared" si="1"/>
        <v>0</v>
      </c>
      <c r="F76" s="19"/>
      <c r="G76" s="19"/>
      <c r="H76" s="19"/>
      <c r="I76" s="19"/>
      <c r="J76" s="19"/>
      <c r="K76" s="19"/>
      <c r="L76" s="19"/>
      <c r="M76" s="19"/>
      <c r="N76" s="19"/>
    </row>
    <row r="77" spans="1:14" s="122" customFormat="1" ht="30" x14ac:dyDescent="0.2">
      <c r="A77" s="401" t="s">
        <v>288</v>
      </c>
      <c r="B77" s="402" t="s">
        <v>296</v>
      </c>
      <c r="C77" s="395">
        <v>463.4</v>
      </c>
      <c r="D77" s="395">
        <v>123.15900000000001</v>
      </c>
      <c r="E77" s="95">
        <f t="shared" si="1"/>
        <v>26.577255071212779</v>
      </c>
      <c r="F77" s="19"/>
      <c r="G77" s="19"/>
      <c r="H77" s="19"/>
      <c r="I77" s="19"/>
      <c r="J77" s="19"/>
      <c r="K77" s="19"/>
      <c r="L77" s="19"/>
      <c r="M77" s="19"/>
      <c r="N77" s="19"/>
    </row>
    <row r="78" spans="1:14" s="122" customFormat="1" ht="45" x14ac:dyDescent="0.2">
      <c r="A78" s="401" t="s">
        <v>288</v>
      </c>
      <c r="B78" s="402" t="s">
        <v>297</v>
      </c>
      <c r="C78" s="395">
        <v>551.1</v>
      </c>
      <c r="D78" s="395">
        <v>130.46700000000001</v>
      </c>
      <c r="E78" s="95">
        <f t="shared" si="1"/>
        <v>23.673924877517692</v>
      </c>
      <c r="F78" s="19"/>
      <c r="G78" s="19"/>
      <c r="H78" s="19"/>
      <c r="I78" s="19"/>
      <c r="J78" s="19"/>
      <c r="K78" s="19"/>
      <c r="L78" s="19"/>
      <c r="M78" s="19"/>
      <c r="N78" s="19"/>
    </row>
    <row r="79" spans="1:14" s="122" customFormat="1" ht="30" x14ac:dyDescent="0.2">
      <c r="A79" s="401" t="s">
        <v>288</v>
      </c>
      <c r="B79" s="402" t="s">
        <v>298</v>
      </c>
      <c r="C79" s="395">
        <v>106</v>
      </c>
      <c r="D79" s="395">
        <v>33.527639999999998</v>
      </c>
      <c r="E79" s="95">
        <f t="shared" si="1"/>
        <v>31.629849056603771</v>
      </c>
      <c r="F79" s="19"/>
      <c r="G79" s="19"/>
      <c r="H79" s="19"/>
      <c r="I79" s="19"/>
      <c r="J79" s="19"/>
      <c r="K79" s="19"/>
      <c r="L79" s="19"/>
      <c r="M79" s="19"/>
      <c r="N79" s="19"/>
    </row>
    <row r="80" spans="1:14" s="122" customFormat="1" ht="45" x14ac:dyDescent="0.2">
      <c r="A80" s="401" t="s">
        <v>288</v>
      </c>
      <c r="B80" s="402" t="s">
        <v>299</v>
      </c>
      <c r="C80" s="395">
        <v>1226.5999999999999</v>
      </c>
      <c r="D80" s="395"/>
      <c r="E80" s="95">
        <f t="shared" si="1"/>
        <v>0</v>
      </c>
      <c r="F80" s="19"/>
      <c r="G80" s="19"/>
      <c r="H80" s="19"/>
      <c r="I80" s="19"/>
      <c r="J80" s="19"/>
      <c r="K80" s="19"/>
      <c r="L80" s="19"/>
      <c r="M80" s="19"/>
      <c r="N80" s="19"/>
    </row>
    <row r="81" spans="1:14" s="122" customFormat="1" ht="30" x14ac:dyDescent="0.2">
      <c r="A81" s="401" t="s">
        <v>288</v>
      </c>
      <c r="B81" s="402" t="s">
        <v>300</v>
      </c>
      <c r="C81" s="395">
        <v>1793</v>
      </c>
      <c r="D81" s="395"/>
      <c r="E81" s="95">
        <f t="shared" si="1"/>
        <v>0</v>
      </c>
      <c r="F81" s="19"/>
      <c r="G81" s="19"/>
      <c r="H81" s="19"/>
      <c r="I81" s="19"/>
      <c r="J81" s="19"/>
      <c r="K81" s="19"/>
      <c r="L81" s="19"/>
      <c r="M81" s="19"/>
      <c r="N81" s="19"/>
    </row>
    <row r="82" spans="1:14" s="122" customFormat="1" x14ac:dyDescent="0.2">
      <c r="A82" s="401" t="s">
        <v>288</v>
      </c>
      <c r="B82" s="402" t="s">
        <v>543</v>
      </c>
      <c r="C82" s="395">
        <v>1230</v>
      </c>
      <c r="D82" s="395"/>
      <c r="E82" s="95">
        <f t="shared" si="1"/>
        <v>0</v>
      </c>
      <c r="F82" s="19"/>
      <c r="G82" s="19"/>
      <c r="H82" s="19"/>
      <c r="I82" s="19"/>
      <c r="J82" s="19"/>
      <c r="K82" s="19"/>
      <c r="L82" s="19"/>
      <c r="M82" s="19"/>
      <c r="N82" s="19"/>
    </row>
    <row r="83" spans="1:14" s="122" customFormat="1" ht="45" hidden="1" x14ac:dyDescent="0.2">
      <c r="A83" s="401" t="s">
        <v>256</v>
      </c>
      <c r="B83" s="402" t="s">
        <v>257</v>
      </c>
      <c r="C83" s="394"/>
      <c r="D83" s="394"/>
      <c r="E83" s="95" t="e">
        <f t="shared" si="1"/>
        <v>#DIV/0!</v>
      </c>
      <c r="F83" s="19"/>
      <c r="G83" s="19"/>
      <c r="H83" s="19"/>
      <c r="I83" s="19"/>
      <c r="J83" s="19"/>
      <c r="K83" s="19"/>
      <c r="L83" s="19"/>
      <c r="M83" s="19"/>
      <c r="N83" s="19"/>
    </row>
    <row r="84" spans="1:14" s="119" customFormat="1" ht="45" x14ac:dyDescent="0.2">
      <c r="A84" s="401" t="s">
        <v>258</v>
      </c>
      <c r="B84" s="402" t="s">
        <v>154</v>
      </c>
      <c r="C84" s="395">
        <v>1120.8</v>
      </c>
      <c r="D84" s="395">
        <v>280.2</v>
      </c>
      <c r="E84" s="95">
        <f t="shared" si="1"/>
        <v>25</v>
      </c>
      <c r="F84" s="19"/>
      <c r="G84" s="19"/>
      <c r="H84" s="19"/>
      <c r="I84" s="19"/>
      <c r="J84" s="19"/>
      <c r="K84" s="19"/>
      <c r="L84" s="19"/>
      <c r="M84" s="19"/>
      <c r="N84" s="19"/>
    </row>
    <row r="85" spans="1:14" s="119" customFormat="1" ht="61.5" customHeight="1" x14ac:dyDescent="0.2">
      <c r="A85" s="401" t="s">
        <v>259</v>
      </c>
      <c r="B85" s="402" t="s">
        <v>260</v>
      </c>
      <c r="C85" s="395">
        <v>18.600000000000001</v>
      </c>
      <c r="D85" s="395"/>
      <c r="E85" s="95">
        <f t="shared" si="1"/>
        <v>0</v>
      </c>
      <c r="F85" s="19"/>
      <c r="G85" s="19"/>
      <c r="H85" s="19"/>
      <c r="I85" s="19"/>
      <c r="J85" s="19"/>
      <c r="K85" s="19"/>
      <c r="L85" s="19"/>
      <c r="M85" s="19"/>
      <c r="N85" s="19"/>
    </row>
    <row r="86" spans="1:14" s="119" customFormat="1" ht="59.25" customHeight="1" x14ac:dyDescent="0.2">
      <c r="A86" s="401" t="s">
        <v>288</v>
      </c>
      <c r="B86" s="402" t="s">
        <v>261</v>
      </c>
      <c r="C86" s="395">
        <v>3701.2</v>
      </c>
      <c r="D86" s="395">
        <f>777.738+2.262</f>
        <v>780</v>
      </c>
      <c r="E86" s="95">
        <f t="shared" si="1"/>
        <v>21.074246190424727</v>
      </c>
      <c r="F86" s="19"/>
      <c r="G86" s="19"/>
      <c r="H86" s="19"/>
      <c r="I86" s="19"/>
      <c r="J86" s="19"/>
      <c r="K86" s="19"/>
      <c r="L86" s="19"/>
      <c r="M86" s="19"/>
      <c r="N86" s="19"/>
    </row>
    <row r="87" spans="1:14" s="119" customFormat="1" ht="30" x14ac:dyDescent="0.2">
      <c r="A87" s="401" t="s">
        <v>262</v>
      </c>
      <c r="B87" s="402" t="s">
        <v>153</v>
      </c>
      <c r="C87" s="395">
        <v>3055</v>
      </c>
      <c r="D87" s="395">
        <v>1536.45</v>
      </c>
      <c r="E87" s="95">
        <f t="shared" si="1"/>
        <v>50.292962356792145</v>
      </c>
      <c r="F87" s="19"/>
      <c r="G87" s="19"/>
      <c r="H87" s="19"/>
      <c r="I87" s="19"/>
      <c r="J87" s="19"/>
      <c r="K87" s="19"/>
      <c r="L87" s="19"/>
      <c r="M87" s="19"/>
      <c r="N87" s="19"/>
    </row>
    <row r="88" spans="1:14" s="119" customFormat="1" ht="90" x14ac:dyDescent="0.2">
      <c r="A88" s="401" t="s">
        <v>263</v>
      </c>
      <c r="B88" s="402" t="s">
        <v>264</v>
      </c>
      <c r="C88" s="395">
        <v>20252.8</v>
      </c>
      <c r="D88" s="395">
        <v>4723.7523700000002</v>
      </c>
      <c r="E88" s="95">
        <f t="shared" si="1"/>
        <v>23.323947157923843</v>
      </c>
    </row>
    <row r="89" spans="1:14" s="119" customFormat="1" ht="45" hidden="1" x14ac:dyDescent="0.2">
      <c r="A89" s="401" t="s">
        <v>265</v>
      </c>
      <c r="B89" s="402" t="s">
        <v>266</v>
      </c>
      <c r="C89" s="395"/>
      <c r="D89" s="395"/>
      <c r="E89" s="95" t="e">
        <f t="shared" si="1"/>
        <v>#DIV/0!</v>
      </c>
    </row>
    <row r="90" spans="1:14" s="119" customFormat="1" ht="60" x14ac:dyDescent="0.2">
      <c r="A90" s="401" t="s">
        <v>595</v>
      </c>
      <c r="B90" s="396" t="s">
        <v>596</v>
      </c>
      <c r="C90" s="395"/>
      <c r="D90" s="395">
        <v>184.80426</v>
      </c>
      <c r="E90" s="95" t="e">
        <f t="shared" si="1"/>
        <v>#DIV/0!</v>
      </c>
    </row>
    <row r="91" spans="1:14" s="119" customFormat="1" ht="47.25" customHeight="1" x14ac:dyDescent="0.2">
      <c r="A91" s="401" t="s">
        <v>267</v>
      </c>
      <c r="B91" s="402" t="s">
        <v>536</v>
      </c>
      <c r="C91" s="395">
        <v>12658.1</v>
      </c>
      <c r="D91" s="395">
        <v>3190.9169999999999</v>
      </c>
      <c r="E91" s="95">
        <f t="shared" si="1"/>
        <v>25.208498905838951</v>
      </c>
      <c r="F91" s="119">
        <f>143973.1+577029.48+641381.4</f>
        <v>1362383.98</v>
      </c>
      <c r="G91" s="119">
        <f>20327063.37-356100-394583.47-446867.48</f>
        <v>19129512.420000002</v>
      </c>
      <c r="H91" s="119">
        <f>10194894.03+209000</f>
        <v>10403894.029999999</v>
      </c>
      <c r="I91" s="119">
        <f>356100+18600+463400+551100+2225100+1113000+3371300+1000</f>
        <v>8099600</v>
      </c>
      <c r="K91" s="119">
        <f>+F91+G91+H91+I91</f>
        <v>38995390.43</v>
      </c>
    </row>
    <row r="92" spans="1:14" s="122" customFormat="1" ht="25.5" customHeight="1" x14ac:dyDescent="0.2">
      <c r="A92" s="403" t="s">
        <v>268</v>
      </c>
      <c r="B92" s="408" t="s">
        <v>160</v>
      </c>
      <c r="C92" s="394">
        <f>C93</f>
        <v>1060</v>
      </c>
      <c r="D92" s="394">
        <f>D93</f>
        <v>115</v>
      </c>
      <c r="E92" s="95">
        <f t="shared" si="1"/>
        <v>10.849056603773585</v>
      </c>
      <c r="K92" s="122">
        <v>37797239.439999998</v>
      </c>
    </row>
    <row r="93" spans="1:14" s="122" customFormat="1" ht="60" x14ac:dyDescent="0.2">
      <c r="A93" s="405" t="s">
        <v>269</v>
      </c>
      <c r="B93" s="409" t="s">
        <v>148</v>
      </c>
      <c r="C93" s="397">
        <v>1060</v>
      </c>
      <c r="D93" s="397">
        <v>115</v>
      </c>
      <c r="E93" s="95">
        <f t="shared" si="1"/>
        <v>10.849056603773585</v>
      </c>
      <c r="K93" s="122">
        <f>K91-K92</f>
        <v>1198150.9900000021</v>
      </c>
    </row>
    <row r="94" spans="1:14" s="122" customFormat="1" ht="30" hidden="1" x14ac:dyDescent="0.2">
      <c r="A94" s="405" t="s">
        <v>270</v>
      </c>
      <c r="B94" s="409" t="s">
        <v>271</v>
      </c>
      <c r="C94" s="395"/>
      <c r="D94" s="395"/>
      <c r="E94" s="95" t="e">
        <f t="shared" si="1"/>
        <v>#DIV/0!</v>
      </c>
    </row>
    <row r="95" spans="1:14" s="122" customFormat="1" ht="45" x14ac:dyDescent="0.2">
      <c r="A95" s="405" t="s">
        <v>597</v>
      </c>
      <c r="B95" s="409" t="s">
        <v>598</v>
      </c>
      <c r="C95" s="395"/>
      <c r="D95" s="395">
        <v>-2.262</v>
      </c>
      <c r="E95" s="95"/>
    </row>
    <row r="96" spans="1:14" s="99" customFormat="1" ht="14.25" x14ac:dyDescent="0.2">
      <c r="A96" s="5"/>
      <c r="B96" s="410" t="s">
        <v>272</v>
      </c>
      <c r="C96" s="394">
        <f>+C13+C46</f>
        <v>529626.91579999996</v>
      </c>
      <c r="D96" s="394">
        <f>+D13+D46</f>
        <v>136951.61962000001</v>
      </c>
      <c r="E96" s="95">
        <f t="shared" si="1"/>
        <v>25.858130607492818</v>
      </c>
    </row>
    <row r="97" spans="2:2" x14ac:dyDescent="0.25">
      <c r="B97" s="398"/>
    </row>
    <row r="98" spans="2:2" x14ac:dyDescent="0.25">
      <c r="B98" s="398"/>
    </row>
    <row r="99" spans="2:2" x14ac:dyDescent="0.25">
      <c r="B99" s="398"/>
    </row>
    <row r="100" spans="2:2" x14ac:dyDescent="0.25">
      <c r="B100" s="398"/>
    </row>
    <row r="101" spans="2:2" x14ac:dyDescent="0.25">
      <c r="B101" s="398"/>
    </row>
    <row r="102" spans="2:2" x14ac:dyDescent="0.25">
      <c r="B102" s="398"/>
    </row>
    <row r="103" spans="2:2" x14ac:dyDescent="0.25">
      <c r="B103" s="398"/>
    </row>
    <row r="104" spans="2:2" x14ac:dyDescent="0.25">
      <c r="B104" s="398"/>
    </row>
    <row r="105" spans="2:2" x14ac:dyDescent="0.25">
      <c r="B105" s="398"/>
    </row>
    <row r="106" spans="2:2" x14ac:dyDescent="0.25">
      <c r="B106" s="398"/>
    </row>
    <row r="107" spans="2:2" x14ac:dyDescent="0.25">
      <c r="B107" s="398"/>
    </row>
    <row r="108" spans="2:2" x14ac:dyDescent="0.25">
      <c r="B108" s="398"/>
    </row>
    <row r="109" spans="2:2" x14ac:dyDescent="0.25">
      <c r="B109" s="398"/>
    </row>
    <row r="110" spans="2:2" x14ac:dyDescent="0.25">
      <c r="B110" s="398"/>
    </row>
    <row r="111" spans="2:2" x14ac:dyDescent="0.25">
      <c r="B111" s="398"/>
    </row>
    <row r="112" spans="2:2" x14ac:dyDescent="0.25">
      <c r="B112" s="398"/>
    </row>
    <row r="113" spans="2:2" x14ac:dyDescent="0.25">
      <c r="B113" s="398"/>
    </row>
    <row r="114" spans="2:2" x14ac:dyDescent="0.25">
      <c r="B114" s="398"/>
    </row>
    <row r="115" spans="2:2" x14ac:dyDescent="0.25">
      <c r="B115" s="398"/>
    </row>
    <row r="116" spans="2:2" x14ac:dyDescent="0.25">
      <c r="B116" s="398"/>
    </row>
    <row r="117" spans="2:2" x14ac:dyDescent="0.25">
      <c r="B117" s="398"/>
    </row>
    <row r="118" spans="2:2" x14ac:dyDescent="0.25">
      <c r="B118" s="398"/>
    </row>
    <row r="119" spans="2:2" x14ac:dyDescent="0.25">
      <c r="B119" s="398"/>
    </row>
    <row r="120" spans="2:2" x14ac:dyDescent="0.25">
      <c r="B120" s="398"/>
    </row>
    <row r="121" spans="2:2" x14ac:dyDescent="0.25">
      <c r="B121" s="398"/>
    </row>
    <row r="122" spans="2:2" x14ac:dyDescent="0.25">
      <c r="B122" s="398"/>
    </row>
    <row r="123" spans="2:2" x14ac:dyDescent="0.25">
      <c r="B123" s="398"/>
    </row>
    <row r="124" spans="2:2" x14ac:dyDescent="0.25">
      <c r="B124" s="398"/>
    </row>
    <row r="125" spans="2:2" x14ac:dyDescent="0.25">
      <c r="B125" s="398"/>
    </row>
    <row r="126" spans="2:2" x14ac:dyDescent="0.25">
      <c r="B126" s="398"/>
    </row>
    <row r="127" spans="2:2" x14ac:dyDescent="0.25">
      <c r="B127" s="398"/>
    </row>
    <row r="128" spans="2:2" x14ac:dyDescent="0.25">
      <c r="B128" s="398"/>
    </row>
    <row r="129" spans="2:2" x14ac:dyDescent="0.25">
      <c r="B129" s="398"/>
    </row>
    <row r="130" spans="2:2" x14ac:dyDescent="0.25">
      <c r="B130" s="398"/>
    </row>
    <row r="131" spans="2:2" x14ac:dyDescent="0.25">
      <c r="B131" s="398"/>
    </row>
    <row r="132" spans="2:2" x14ac:dyDescent="0.25">
      <c r="B132" s="398"/>
    </row>
    <row r="133" spans="2:2" x14ac:dyDescent="0.25">
      <c r="B133" s="398"/>
    </row>
    <row r="134" spans="2:2" x14ac:dyDescent="0.25">
      <c r="B134" s="398"/>
    </row>
    <row r="135" spans="2:2" x14ac:dyDescent="0.25">
      <c r="B135" s="398"/>
    </row>
    <row r="136" spans="2:2" x14ac:dyDescent="0.25">
      <c r="B136" s="398"/>
    </row>
    <row r="137" spans="2:2" x14ac:dyDescent="0.25">
      <c r="B137" s="398"/>
    </row>
    <row r="138" spans="2:2" x14ac:dyDescent="0.25">
      <c r="B138" s="398"/>
    </row>
    <row r="139" spans="2:2" x14ac:dyDescent="0.25">
      <c r="B139" s="398"/>
    </row>
    <row r="140" spans="2:2" x14ac:dyDescent="0.25">
      <c r="B140" s="398"/>
    </row>
    <row r="141" spans="2:2" x14ac:dyDescent="0.25">
      <c r="B141" s="398"/>
    </row>
    <row r="142" spans="2:2" x14ac:dyDescent="0.25">
      <c r="B142" s="398"/>
    </row>
    <row r="143" spans="2:2" x14ac:dyDescent="0.25">
      <c r="B143" s="398"/>
    </row>
    <row r="144" spans="2:2" x14ac:dyDescent="0.25">
      <c r="B144" s="398"/>
    </row>
    <row r="145" spans="2:2" x14ac:dyDescent="0.25">
      <c r="B145" s="398"/>
    </row>
    <row r="146" spans="2:2" x14ac:dyDescent="0.25">
      <c r="B146" s="398"/>
    </row>
    <row r="147" spans="2:2" x14ac:dyDescent="0.25">
      <c r="B147" s="398"/>
    </row>
    <row r="148" spans="2:2" x14ac:dyDescent="0.25">
      <c r="B148" s="398"/>
    </row>
    <row r="149" spans="2:2" x14ac:dyDescent="0.25">
      <c r="B149" s="398"/>
    </row>
    <row r="150" spans="2:2" x14ac:dyDescent="0.25">
      <c r="B150" s="398"/>
    </row>
    <row r="151" spans="2:2" x14ac:dyDescent="0.25">
      <c r="B151" s="398"/>
    </row>
    <row r="152" spans="2:2" x14ac:dyDescent="0.25">
      <c r="B152" s="398"/>
    </row>
    <row r="153" spans="2:2" x14ac:dyDescent="0.25">
      <c r="B153" s="398"/>
    </row>
    <row r="154" spans="2:2" x14ac:dyDescent="0.25">
      <c r="B154" s="398"/>
    </row>
    <row r="155" spans="2:2" x14ac:dyDescent="0.25">
      <c r="B155" s="398"/>
    </row>
    <row r="156" spans="2:2" x14ac:dyDescent="0.25">
      <c r="B156" s="398"/>
    </row>
    <row r="157" spans="2:2" x14ac:dyDescent="0.25">
      <c r="B157" s="398"/>
    </row>
    <row r="158" spans="2:2" x14ac:dyDescent="0.25">
      <c r="B158" s="398"/>
    </row>
    <row r="159" spans="2:2" x14ac:dyDescent="0.25">
      <c r="B159" s="398"/>
    </row>
    <row r="160" spans="2:2" x14ac:dyDescent="0.25">
      <c r="B160" s="398"/>
    </row>
    <row r="161" spans="2:2" x14ac:dyDescent="0.25">
      <c r="B161" s="398"/>
    </row>
    <row r="162" spans="2:2" x14ac:dyDescent="0.25">
      <c r="B162" s="398"/>
    </row>
    <row r="163" spans="2:2" x14ac:dyDescent="0.25">
      <c r="B163" s="398"/>
    </row>
    <row r="164" spans="2:2" x14ac:dyDescent="0.25">
      <c r="B164" s="398"/>
    </row>
    <row r="165" spans="2:2" x14ac:dyDescent="0.25">
      <c r="B165" s="398"/>
    </row>
    <row r="166" spans="2:2" x14ac:dyDescent="0.25">
      <c r="B166" s="398"/>
    </row>
    <row r="167" spans="2:2" x14ac:dyDescent="0.25">
      <c r="B167" s="398"/>
    </row>
    <row r="168" spans="2:2" x14ac:dyDescent="0.25">
      <c r="B168" s="398"/>
    </row>
    <row r="169" spans="2:2" x14ac:dyDescent="0.25">
      <c r="B169" s="398"/>
    </row>
    <row r="170" spans="2:2" x14ac:dyDescent="0.25">
      <c r="B170" s="398"/>
    </row>
    <row r="171" spans="2:2" x14ac:dyDescent="0.25">
      <c r="B171" s="398"/>
    </row>
    <row r="172" spans="2:2" x14ac:dyDescent="0.25">
      <c r="B172" s="398"/>
    </row>
    <row r="173" spans="2:2" x14ac:dyDescent="0.25">
      <c r="B173" s="398"/>
    </row>
    <row r="174" spans="2:2" x14ac:dyDescent="0.25">
      <c r="B174" s="398"/>
    </row>
    <row r="175" spans="2:2" x14ac:dyDescent="0.25">
      <c r="B175" s="398"/>
    </row>
    <row r="176" spans="2:2" x14ac:dyDescent="0.25">
      <c r="B176" s="398"/>
    </row>
    <row r="177" spans="2:2" x14ac:dyDescent="0.25">
      <c r="B177" s="398"/>
    </row>
    <row r="178" spans="2:2" x14ac:dyDescent="0.25">
      <c r="B178" s="398"/>
    </row>
    <row r="179" spans="2:2" x14ac:dyDescent="0.25">
      <c r="B179" s="398"/>
    </row>
    <row r="180" spans="2:2" x14ac:dyDescent="0.25">
      <c r="B180" s="398"/>
    </row>
    <row r="181" spans="2:2" x14ac:dyDescent="0.25">
      <c r="B181" s="398"/>
    </row>
    <row r="182" spans="2:2" x14ac:dyDescent="0.25">
      <c r="B182" s="398"/>
    </row>
    <row r="183" spans="2:2" x14ac:dyDescent="0.25">
      <c r="B183" s="398"/>
    </row>
    <row r="184" spans="2:2" x14ac:dyDescent="0.25">
      <c r="B184" s="398"/>
    </row>
    <row r="185" spans="2:2" x14ac:dyDescent="0.25">
      <c r="B185" s="398"/>
    </row>
    <row r="186" spans="2:2" x14ac:dyDescent="0.25">
      <c r="B186" s="398"/>
    </row>
    <row r="187" spans="2:2" x14ac:dyDescent="0.25">
      <c r="B187" s="398"/>
    </row>
    <row r="188" spans="2:2" x14ac:dyDescent="0.25">
      <c r="B188" s="398"/>
    </row>
    <row r="189" spans="2:2" x14ac:dyDescent="0.25">
      <c r="B189" s="398"/>
    </row>
    <row r="190" spans="2:2" x14ac:dyDescent="0.25">
      <c r="B190" s="398"/>
    </row>
    <row r="191" spans="2:2" x14ac:dyDescent="0.25">
      <c r="B191" s="398"/>
    </row>
    <row r="192" spans="2:2" x14ac:dyDescent="0.25">
      <c r="B192" s="398"/>
    </row>
    <row r="193" spans="2:2" x14ac:dyDescent="0.25">
      <c r="B193" s="398"/>
    </row>
    <row r="194" spans="2:2" x14ac:dyDescent="0.25">
      <c r="B194" s="398"/>
    </row>
    <row r="195" spans="2:2" x14ac:dyDescent="0.25">
      <c r="B195" s="398"/>
    </row>
    <row r="196" spans="2:2" x14ac:dyDescent="0.25">
      <c r="B196" s="398"/>
    </row>
    <row r="197" spans="2:2" x14ac:dyDescent="0.25">
      <c r="B197" s="398"/>
    </row>
    <row r="198" spans="2:2" x14ac:dyDescent="0.25">
      <c r="B198" s="398"/>
    </row>
    <row r="199" spans="2:2" x14ac:dyDescent="0.25">
      <c r="B199" s="398"/>
    </row>
    <row r="200" spans="2:2" x14ac:dyDescent="0.25">
      <c r="B200" s="398"/>
    </row>
    <row r="201" spans="2:2" x14ac:dyDescent="0.25">
      <c r="B201" s="398"/>
    </row>
    <row r="202" spans="2:2" x14ac:dyDescent="0.25">
      <c r="B202" s="398"/>
    </row>
    <row r="203" spans="2:2" x14ac:dyDescent="0.25">
      <c r="B203" s="398"/>
    </row>
    <row r="204" spans="2:2" x14ac:dyDescent="0.25">
      <c r="B204" s="398"/>
    </row>
    <row r="205" spans="2:2" x14ac:dyDescent="0.25">
      <c r="B205" s="398"/>
    </row>
    <row r="206" spans="2:2" x14ac:dyDescent="0.25">
      <c r="B206" s="398"/>
    </row>
    <row r="207" spans="2:2" x14ac:dyDescent="0.25">
      <c r="B207" s="398"/>
    </row>
    <row r="208" spans="2:2" x14ac:dyDescent="0.25">
      <c r="B208" s="398"/>
    </row>
    <row r="209" spans="2:2" x14ac:dyDescent="0.25">
      <c r="B209" s="398"/>
    </row>
    <row r="210" spans="2:2" x14ac:dyDescent="0.25">
      <c r="B210" s="398"/>
    </row>
    <row r="211" spans="2:2" x14ac:dyDescent="0.25">
      <c r="B211" s="398"/>
    </row>
    <row r="212" spans="2:2" x14ac:dyDescent="0.25">
      <c r="B212" s="398"/>
    </row>
    <row r="213" spans="2:2" x14ac:dyDescent="0.25">
      <c r="B213" s="398"/>
    </row>
    <row r="214" spans="2:2" x14ac:dyDescent="0.25">
      <c r="B214" s="398"/>
    </row>
    <row r="215" spans="2:2" x14ac:dyDescent="0.25">
      <c r="B215" s="398"/>
    </row>
    <row r="216" spans="2:2" x14ac:dyDescent="0.25">
      <c r="B216" s="398"/>
    </row>
    <row r="217" spans="2:2" x14ac:dyDescent="0.25">
      <c r="B217" s="398"/>
    </row>
    <row r="218" spans="2:2" x14ac:dyDescent="0.25">
      <c r="B218" s="398"/>
    </row>
    <row r="219" spans="2:2" x14ac:dyDescent="0.25">
      <c r="B219" s="398"/>
    </row>
    <row r="220" spans="2:2" x14ac:dyDescent="0.25">
      <c r="B220" s="398"/>
    </row>
    <row r="221" spans="2:2" x14ac:dyDescent="0.25">
      <c r="B221" s="398"/>
    </row>
    <row r="222" spans="2:2" x14ac:dyDescent="0.25">
      <c r="B222" s="398"/>
    </row>
    <row r="223" spans="2:2" x14ac:dyDescent="0.25">
      <c r="B223" s="398"/>
    </row>
    <row r="224" spans="2:2" x14ac:dyDescent="0.25">
      <c r="B224" s="398"/>
    </row>
    <row r="225" spans="2:2" x14ac:dyDescent="0.25">
      <c r="B225" s="398"/>
    </row>
    <row r="226" spans="2:2" x14ac:dyDescent="0.25">
      <c r="B226" s="398"/>
    </row>
    <row r="227" spans="2:2" x14ac:dyDescent="0.25">
      <c r="B227" s="398"/>
    </row>
    <row r="228" spans="2:2" x14ac:dyDescent="0.25">
      <c r="B228" s="398"/>
    </row>
    <row r="229" spans="2:2" x14ac:dyDescent="0.25">
      <c r="B229" s="398"/>
    </row>
    <row r="230" spans="2:2" x14ac:dyDescent="0.25">
      <c r="B230" s="398"/>
    </row>
    <row r="231" spans="2:2" x14ac:dyDescent="0.25">
      <c r="B231" s="398"/>
    </row>
    <row r="232" spans="2:2" x14ac:dyDescent="0.25">
      <c r="B232" s="398"/>
    </row>
    <row r="233" spans="2:2" x14ac:dyDescent="0.25">
      <c r="B233" s="398"/>
    </row>
    <row r="234" spans="2:2" x14ac:dyDescent="0.25">
      <c r="B234" s="398"/>
    </row>
    <row r="235" spans="2:2" x14ac:dyDescent="0.25">
      <c r="B235" s="398"/>
    </row>
    <row r="236" spans="2:2" x14ac:dyDescent="0.25">
      <c r="B236" s="398"/>
    </row>
    <row r="237" spans="2:2" x14ac:dyDescent="0.25">
      <c r="B237" s="398"/>
    </row>
    <row r="238" spans="2:2" x14ac:dyDescent="0.25">
      <c r="B238" s="398"/>
    </row>
    <row r="239" spans="2:2" x14ac:dyDescent="0.25">
      <c r="B239" s="398"/>
    </row>
    <row r="240" spans="2:2" x14ac:dyDescent="0.25">
      <c r="B240" s="398"/>
    </row>
    <row r="241" spans="2:2" x14ac:dyDescent="0.25">
      <c r="B241" s="398"/>
    </row>
    <row r="242" spans="2:2" x14ac:dyDescent="0.25">
      <c r="B242" s="398"/>
    </row>
    <row r="243" spans="2:2" x14ac:dyDescent="0.25">
      <c r="B243" s="398"/>
    </row>
    <row r="244" spans="2:2" x14ac:dyDescent="0.25">
      <c r="B244" s="398"/>
    </row>
    <row r="245" spans="2:2" x14ac:dyDescent="0.25">
      <c r="B245" s="398"/>
    </row>
    <row r="246" spans="2:2" x14ac:dyDescent="0.25">
      <c r="B246" s="398"/>
    </row>
  </sheetData>
  <mergeCells count="7">
    <mergeCell ref="A8:C8"/>
    <mergeCell ref="C1:E1"/>
    <mergeCell ref="C2:E2"/>
    <mergeCell ref="B3:E3"/>
    <mergeCell ref="B4:E4"/>
    <mergeCell ref="B5:E5"/>
    <mergeCell ref="A7:C7"/>
  </mergeCells>
  <pageMargins left="0.51181102362204722" right="0.15748031496062992" top="0.43307086614173229" bottom="0.47244094488188981" header="0.15748031496062992" footer="0.15748031496062992"/>
  <pageSetup paperSize="9" scale="71" fitToHeight="0" orientation="portrait" useFirstPageNumber="1" r:id="rId1"/>
  <headerFooter alignWithMargins="0">
    <oddHeader>&amp;R&amp;P</oddHead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2"/>
  <sheetViews>
    <sheetView topLeftCell="A16" zoomScaleNormal="100" workbookViewId="0">
      <selection activeCell="K17" sqref="K17"/>
    </sheetView>
  </sheetViews>
  <sheetFormatPr defaultRowHeight="12.75" x14ac:dyDescent="0.2"/>
  <cols>
    <col min="1" max="1" width="4.140625" style="281" customWidth="1"/>
    <col min="2" max="2" width="30.140625" style="281" customWidth="1"/>
    <col min="3" max="3" width="7.42578125" style="281" customWidth="1"/>
    <col min="4" max="4" width="20" style="304" customWidth="1"/>
    <col min="5" max="5" width="16" style="302" customWidth="1"/>
    <col min="6" max="6" width="11.5703125" style="281" customWidth="1"/>
    <col min="7" max="256" width="9.140625" style="281"/>
    <col min="257" max="257" width="4.140625" style="281" customWidth="1"/>
    <col min="258" max="258" width="30.140625" style="281" customWidth="1"/>
    <col min="259" max="259" width="7.42578125" style="281" customWidth="1"/>
    <col min="260" max="260" width="20" style="281" customWidth="1"/>
    <col min="261" max="261" width="16" style="281" customWidth="1"/>
    <col min="262" max="262" width="11.5703125" style="281" customWidth="1"/>
    <col min="263" max="512" width="9.140625" style="281"/>
    <col min="513" max="513" width="4.140625" style="281" customWidth="1"/>
    <col min="514" max="514" width="30.140625" style="281" customWidth="1"/>
    <col min="515" max="515" width="7.42578125" style="281" customWidth="1"/>
    <col min="516" max="516" width="20" style="281" customWidth="1"/>
    <col min="517" max="517" width="16" style="281" customWidth="1"/>
    <col min="518" max="518" width="11.5703125" style="281" customWidth="1"/>
    <col min="519" max="768" width="9.140625" style="281"/>
    <col min="769" max="769" width="4.140625" style="281" customWidth="1"/>
    <col min="770" max="770" width="30.140625" style="281" customWidth="1"/>
    <col min="771" max="771" width="7.42578125" style="281" customWidth="1"/>
    <col min="772" max="772" width="20" style="281" customWidth="1"/>
    <col min="773" max="773" width="16" style="281" customWidth="1"/>
    <col min="774" max="774" width="11.5703125" style="281" customWidth="1"/>
    <col min="775" max="1024" width="9.140625" style="281"/>
    <col min="1025" max="1025" width="4.140625" style="281" customWidth="1"/>
    <col min="1026" max="1026" width="30.140625" style="281" customWidth="1"/>
    <col min="1027" max="1027" width="7.42578125" style="281" customWidth="1"/>
    <col min="1028" max="1028" width="20" style="281" customWidth="1"/>
    <col min="1029" max="1029" width="16" style="281" customWidth="1"/>
    <col min="1030" max="1030" width="11.5703125" style="281" customWidth="1"/>
    <col min="1031" max="1280" width="9.140625" style="281"/>
    <col min="1281" max="1281" width="4.140625" style="281" customWidth="1"/>
    <col min="1282" max="1282" width="30.140625" style="281" customWidth="1"/>
    <col min="1283" max="1283" width="7.42578125" style="281" customWidth="1"/>
    <col min="1284" max="1284" width="20" style="281" customWidth="1"/>
    <col min="1285" max="1285" width="16" style="281" customWidth="1"/>
    <col min="1286" max="1286" width="11.5703125" style="281" customWidth="1"/>
    <col min="1287" max="1536" width="9.140625" style="281"/>
    <col min="1537" max="1537" width="4.140625" style="281" customWidth="1"/>
    <col min="1538" max="1538" width="30.140625" style="281" customWidth="1"/>
    <col min="1539" max="1539" width="7.42578125" style="281" customWidth="1"/>
    <col min="1540" max="1540" width="20" style="281" customWidth="1"/>
    <col min="1541" max="1541" width="16" style="281" customWidth="1"/>
    <col min="1542" max="1542" width="11.5703125" style="281" customWidth="1"/>
    <col min="1543" max="1792" width="9.140625" style="281"/>
    <col min="1793" max="1793" width="4.140625" style="281" customWidth="1"/>
    <col min="1794" max="1794" width="30.140625" style="281" customWidth="1"/>
    <col min="1795" max="1795" width="7.42578125" style="281" customWidth="1"/>
    <col min="1796" max="1796" width="20" style="281" customWidth="1"/>
    <col min="1797" max="1797" width="16" style="281" customWidth="1"/>
    <col min="1798" max="1798" width="11.5703125" style="281" customWidth="1"/>
    <col min="1799" max="2048" width="9.140625" style="281"/>
    <col min="2049" max="2049" width="4.140625" style="281" customWidth="1"/>
    <col min="2050" max="2050" width="30.140625" style="281" customWidth="1"/>
    <col min="2051" max="2051" width="7.42578125" style="281" customWidth="1"/>
    <col min="2052" max="2052" width="20" style="281" customWidth="1"/>
    <col min="2053" max="2053" width="16" style="281" customWidth="1"/>
    <col min="2054" max="2054" width="11.5703125" style="281" customWidth="1"/>
    <col min="2055" max="2304" width="9.140625" style="281"/>
    <col min="2305" max="2305" width="4.140625" style="281" customWidth="1"/>
    <col min="2306" max="2306" width="30.140625" style="281" customWidth="1"/>
    <col min="2307" max="2307" width="7.42578125" style="281" customWidth="1"/>
    <col min="2308" max="2308" width="20" style="281" customWidth="1"/>
    <col min="2309" max="2309" width="16" style="281" customWidth="1"/>
    <col min="2310" max="2310" width="11.5703125" style="281" customWidth="1"/>
    <col min="2311" max="2560" width="9.140625" style="281"/>
    <col min="2561" max="2561" width="4.140625" style="281" customWidth="1"/>
    <col min="2562" max="2562" width="30.140625" style="281" customWidth="1"/>
    <col min="2563" max="2563" width="7.42578125" style="281" customWidth="1"/>
    <col min="2564" max="2564" width="20" style="281" customWidth="1"/>
    <col min="2565" max="2565" width="16" style="281" customWidth="1"/>
    <col min="2566" max="2566" width="11.5703125" style="281" customWidth="1"/>
    <col min="2567" max="2816" width="9.140625" style="281"/>
    <col min="2817" max="2817" width="4.140625" style="281" customWidth="1"/>
    <col min="2818" max="2818" width="30.140625" style="281" customWidth="1"/>
    <col min="2819" max="2819" width="7.42578125" style="281" customWidth="1"/>
    <col min="2820" max="2820" width="20" style="281" customWidth="1"/>
    <col min="2821" max="2821" width="16" style="281" customWidth="1"/>
    <col min="2822" max="2822" width="11.5703125" style="281" customWidth="1"/>
    <col min="2823" max="3072" width="9.140625" style="281"/>
    <col min="3073" max="3073" width="4.140625" style="281" customWidth="1"/>
    <col min="3074" max="3074" width="30.140625" style="281" customWidth="1"/>
    <col min="3075" max="3075" width="7.42578125" style="281" customWidth="1"/>
    <col min="3076" max="3076" width="20" style="281" customWidth="1"/>
    <col min="3077" max="3077" width="16" style="281" customWidth="1"/>
    <col min="3078" max="3078" width="11.5703125" style="281" customWidth="1"/>
    <col min="3079" max="3328" width="9.140625" style="281"/>
    <col min="3329" max="3329" width="4.140625" style="281" customWidth="1"/>
    <col min="3330" max="3330" width="30.140625" style="281" customWidth="1"/>
    <col min="3331" max="3331" width="7.42578125" style="281" customWidth="1"/>
    <col min="3332" max="3332" width="20" style="281" customWidth="1"/>
    <col min="3333" max="3333" width="16" style="281" customWidth="1"/>
    <col min="3334" max="3334" width="11.5703125" style="281" customWidth="1"/>
    <col min="3335" max="3584" width="9.140625" style="281"/>
    <col min="3585" max="3585" width="4.140625" style="281" customWidth="1"/>
    <col min="3586" max="3586" width="30.140625" style="281" customWidth="1"/>
    <col min="3587" max="3587" width="7.42578125" style="281" customWidth="1"/>
    <col min="3588" max="3588" width="20" style="281" customWidth="1"/>
    <col min="3589" max="3589" width="16" style="281" customWidth="1"/>
    <col min="3590" max="3590" width="11.5703125" style="281" customWidth="1"/>
    <col min="3591" max="3840" width="9.140625" style="281"/>
    <col min="3841" max="3841" width="4.140625" style="281" customWidth="1"/>
    <col min="3842" max="3842" width="30.140625" style="281" customWidth="1"/>
    <col min="3843" max="3843" width="7.42578125" style="281" customWidth="1"/>
    <col min="3844" max="3844" width="20" style="281" customWidth="1"/>
    <col min="3845" max="3845" width="16" style="281" customWidth="1"/>
    <col min="3846" max="3846" width="11.5703125" style="281" customWidth="1"/>
    <col min="3847" max="4096" width="9.140625" style="281"/>
    <col min="4097" max="4097" width="4.140625" style="281" customWidth="1"/>
    <col min="4098" max="4098" width="30.140625" style="281" customWidth="1"/>
    <col min="4099" max="4099" width="7.42578125" style="281" customWidth="1"/>
    <col min="4100" max="4100" width="20" style="281" customWidth="1"/>
    <col min="4101" max="4101" width="16" style="281" customWidth="1"/>
    <col min="4102" max="4102" width="11.5703125" style="281" customWidth="1"/>
    <col min="4103" max="4352" width="9.140625" style="281"/>
    <col min="4353" max="4353" width="4.140625" style="281" customWidth="1"/>
    <col min="4354" max="4354" width="30.140625" style="281" customWidth="1"/>
    <col min="4355" max="4355" width="7.42578125" style="281" customWidth="1"/>
    <col min="4356" max="4356" width="20" style="281" customWidth="1"/>
    <col min="4357" max="4357" width="16" style="281" customWidth="1"/>
    <col min="4358" max="4358" width="11.5703125" style="281" customWidth="1"/>
    <col min="4359" max="4608" width="9.140625" style="281"/>
    <col min="4609" max="4609" width="4.140625" style="281" customWidth="1"/>
    <col min="4610" max="4610" width="30.140625" style="281" customWidth="1"/>
    <col min="4611" max="4611" width="7.42578125" style="281" customWidth="1"/>
    <col min="4612" max="4612" width="20" style="281" customWidth="1"/>
    <col min="4613" max="4613" width="16" style="281" customWidth="1"/>
    <col min="4614" max="4614" width="11.5703125" style="281" customWidth="1"/>
    <col min="4615" max="4864" width="9.140625" style="281"/>
    <col min="4865" max="4865" width="4.140625" style="281" customWidth="1"/>
    <col min="4866" max="4866" width="30.140625" style="281" customWidth="1"/>
    <col min="4867" max="4867" width="7.42578125" style="281" customWidth="1"/>
    <col min="4868" max="4868" width="20" style="281" customWidth="1"/>
    <col min="4869" max="4869" width="16" style="281" customWidth="1"/>
    <col min="4870" max="4870" width="11.5703125" style="281" customWidth="1"/>
    <col min="4871" max="5120" width="9.140625" style="281"/>
    <col min="5121" max="5121" width="4.140625" style="281" customWidth="1"/>
    <col min="5122" max="5122" width="30.140625" style="281" customWidth="1"/>
    <col min="5123" max="5123" width="7.42578125" style="281" customWidth="1"/>
    <col min="5124" max="5124" width="20" style="281" customWidth="1"/>
    <col min="5125" max="5125" width="16" style="281" customWidth="1"/>
    <col min="5126" max="5126" width="11.5703125" style="281" customWidth="1"/>
    <col min="5127" max="5376" width="9.140625" style="281"/>
    <col min="5377" max="5377" width="4.140625" style="281" customWidth="1"/>
    <col min="5378" max="5378" width="30.140625" style="281" customWidth="1"/>
    <col min="5379" max="5379" width="7.42578125" style="281" customWidth="1"/>
    <col min="5380" max="5380" width="20" style="281" customWidth="1"/>
    <col min="5381" max="5381" width="16" style="281" customWidth="1"/>
    <col min="5382" max="5382" width="11.5703125" style="281" customWidth="1"/>
    <col min="5383" max="5632" width="9.140625" style="281"/>
    <col min="5633" max="5633" width="4.140625" style="281" customWidth="1"/>
    <col min="5634" max="5634" width="30.140625" style="281" customWidth="1"/>
    <col min="5635" max="5635" width="7.42578125" style="281" customWidth="1"/>
    <col min="5636" max="5636" width="20" style="281" customWidth="1"/>
    <col min="5637" max="5637" width="16" style="281" customWidth="1"/>
    <col min="5638" max="5638" width="11.5703125" style="281" customWidth="1"/>
    <col min="5639" max="5888" width="9.140625" style="281"/>
    <col min="5889" max="5889" width="4.140625" style="281" customWidth="1"/>
    <col min="5890" max="5890" width="30.140625" style="281" customWidth="1"/>
    <col min="5891" max="5891" width="7.42578125" style="281" customWidth="1"/>
    <col min="5892" max="5892" width="20" style="281" customWidth="1"/>
    <col min="5893" max="5893" width="16" style="281" customWidth="1"/>
    <col min="5894" max="5894" width="11.5703125" style="281" customWidth="1"/>
    <col min="5895" max="6144" width="9.140625" style="281"/>
    <col min="6145" max="6145" width="4.140625" style="281" customWidth="1"/>
    <col min="6146" max="6146" width="30.140625" style="281" customWidth="1"/>
    <col min="6147" max="6147" width="7.42578125" style="281" customWidth="1"/>
    <col min="6148" max="6148" width="20" style="281" customWidth="1"/>
    <col min="6149" max="6149" width="16" style="281" customWidth="1"/>
    <col min="6150" max="6150" width="11.5703125" style="281" customWidth="1"/>
    <col min="6151" max="6400" width="9.140625" style="281"/>
    <col min="6401" max="6401" width="4.140625" style="281" customWidth="1"/>
    <col min="6402" max="6402" width="30.140625" style="281" customWidth="1"/>
    <col min="6403" max="6403" width="7.42578125" style="281" customWidth="1"/>
    <col min="6404" max="6404" width="20" style="281" customWidth="1"/>
    <col min="6405" max="6405" width="16" style="281" customWidth="1"/>
    <col min="6406" max="6406" width="11.5703125" style="281" customWidth="1"/>
    <col min="6407" max="6656" width="9.140625" style="281"/>
    <col min="6657" max="6657" width="4.140625" style="281" customWidth="1"/>
    <col min="6658" max="6658" width="30.140625" style="281" customWidth="1"/>
    <col min="6659" max="6659" width="7.42578125" style="281" customWidth="1"/>
    <col min="6660" max="6660" width="20" style="281" customWidth="1"/>
    <col min="6661" max="6661" width="16" style="281" customWidth="1"/>
    <col min="6662" max="6662" width="11.5703125" style="281" customWidth="1"/>
    <col min="6663" max="6912" width="9.140625" style="281"/>
    <col min="6913" max="6913" width="4.140625" style="281" customWidth="1"/>
    <col min="6914" max="6914" width="30.140625" style="281" customWidth="1"/>
    <col min="6915" max="6915" width="7.42578125" style="281" customWidth="1"/>
    <col min="6916" max="6916" width="20" style="281" customWidth="1"/>
    <col min="6917" max="6917" width="16" style="281" customWidth="1"/>
    <col min="6918" max="6918" width="11.5703125" style="281" customWidth="1"/>
    <col min="6919" max="7168" width="9.140625" style="281"/>
    <col min="7169" max="7169" width="4.140625" style="281" customWidth="1"/>
    <col min="7170" max="7170" width="30.140625" style="281" customWidth="1"/>
    <col min="7171" max="7171" width="7.42578125" style="281" customWidth="1"/>
    <col min="7172" max="7172" width="20" style="281" customWidth="1"/>
    <col min="7173" max="7173" width="16" style="281" customWidth="1"/>
    <col min="7174" max="7174" width="11.5703125" style="281" customWidth="1"/>
    <col min="7175" max="7424" width="9.140625" style="281"/>
    <col min="7425" max="7425" width="4.140625" style="281" customWidth="1"/>
    <col min="7426" max="7426" width="30.140625" style="281" customWidth="1"/>
    <col min="7427" max="7427" width="7.42578125" style="281" customWidth="1"/>
    <col min="7428" max="7428" width="20" style="281" customWidth="1"/>
    <col min="7429" max="7429" width="16" style="281" customWidth="1"/>
    <col min="7430" max="7430" width="11.5703125" style="281" customWidth="1"/>
    <col min="7431" max="7680" width="9.140625" style="281"/>
    <col min="7681" max="7681" width="4.140625" style="281" customWidth="1"/>
    <col min="7682" max="7682" width="30.140625" style="281" customWidth="1"/>
    <col min="7683" max="7683" width="7.42578125" style="281" customWidth="1"/>
    <col min="7684" max="7684" width="20" style="281" customWidth="1"/>
    <col min="7685" max="7685" width="16" style="281" customWidth="1"/>
    <col min="7686" max="7686" width="11.5703125" style="281" customWidth="1"/>
    <col min="7687" max="7936" width="9.140625" style="281"/>
    <col min="7937" max="7937" width="4.140625" style="281" customWidth="1"/>
    <col min="7938" max="7938" width="30.140625" style="281" customWidth="1"/>
    <col min="7939" max="7939" width="7.42578125" style="281" customWidth="1"/>
    <col min="7940" max="7940" width="20" style="281" customWidth="1"/>
    <col min="7941" max="7941" width="16" style="281" customWidth="1"/>
    <col min="7942" max="7942" width="11.5703125" style="281" customWidth="1"/>
    <col min="7943" max="8192" width="9.140625" style="281"/>
    <col min="8193" max="8193" width="4.140625" style="281" customWidth="1"/>
    <col min="8194" max="8194" width="30.140625" style="281" customWidth="1"/>
    <col min="8195" max="8195" width="7.42578125" style="281" customWidth="1"/>
    <col min="8196" max="8196" width="20" style="281" customWidth="1"/>
    <col min="8197" max="8197" width="16" style="281" customWidth="1"/>
    <col min="8198" max="8198" width="11.5703125" style="281" customWidth="1"/>
    <col min="8199" max="8448" width="9.140625" style="281"/>
    <col min="8449" max="8449" width="4.140625" style="281" customWidth="1"/>
    <col min="8450" max="8450" width="30.140625" style="281" customWidth="1"/>
    <col min="8451" max="8451" width="7.42578125" style="281" customWidth="1"/>
    <col min="8452" max="8452" width="20" style="281" customWidth="1"/>
    <col min="8453" max="8453" width="16" style="281" customWidth="1"/>
    <col min="8454" max="8454" width="11.5703125" style="281" customWidth="1"/>
    <col min="8455" max="8704" width="9.140625" style="281"/>
    <col min="8705" max="8705" width="4.140625" style="281" customWidth="1"/>
    <col min="8706" max="8706" width="30.140625" style="281" customWidth="1"/>
    <col min="8707" max="8707" width="7.42578125" style="281" customWidth="1"/>
    <col min="8708" max="8708" width="20" style="281" customWidth="1"/>
    <col min="8709" max="8709" width="16" style="281" customWidth="1"/>
    <col min="8710" max="8710" width="11.5703125" style="281" customWidth="1"/>
    <col min="8711" max="8960" width="9.140625" style="281"/>
    <col min="8961" max="8961" width="4.140625" style="281" customWidth="1"/>
    <col min="8962" max="8962" width="30.140625" style="281" customWidth="1"/>
    <col min="8963" max="8963" width="7.42578125" style="281" customWidth="1"/>
    <col min="8964" max="8964" width="20" style="281" customWidth="1"/>
    <col min="8965" max="8965" width="16" style="281" customWidth="1"/>
    <col min="8966" max="8966" width="11.5703125" style="281" customWidth="1"/>
    <col min="8967" max="9216" width="9.140625" style="281"/>
    <col min="9217" max="9217" width="4.140625" style="281" customWidth="1"/>
    <col min="9218" max="9218" width="30.140625" style="281" customWidth="1"/>
    <col min="9219" max="9219" width="7.42578125" style="281" customWidth="1"/>
    <col min="9220" max="9220" width="20" style="281" customWidth="1"/>
    <col min="9221" max="9221" width="16" style="281" customWidth="1"/>
    <col min="9222" max="9222" width="11.5703125" style="281" customWidth="1"/>
    <col min="9223" max="9472" width="9.140625" style="281"/>
    <col min="9473" max="9473" width="4.140625" style="281" customWidth="1"/>
    <col min="9474" max="9474" width="30.140625" style="281" customWidth="1"/>
    <col min="9475" max="9475" width="7.42578125" style="281" customWidth="1"/>
    <col min="9476" max="9476" width="20" style="281" customWidth="1"/>
    <col min="9477" max="9477" width="16" style="281" customWidth="1"/>
    <col min="9478" max="9478" width="11.5703125" style="281" customWidth="1"/>
    <col min="9479" max="9728" width="9.140625" style="281"/>
    <col min="9729" max="9729" width="4.140625" style="281" customWidth="1"/>
    <col min="9730" max="9730" width="30.140625" style="281" customWidth="1"/>
    <col min="9731" max="9731" width="7.42578125" style="281" customWidth="1"/>
    <col min="9732" max="9732" width="20" style="281" customWidth="1"/>
    <col min="9733" max="9733" width="16" style="281" customWidth="1"/>
    <col min="9734" max="9734" width="11.5703125" style="281" customWidth="1"/>
    <col min="9735" max="9984" width="9.140625" style="281"/>
    <col min="9985" max="9985" width="4.140625" style="281" customWidth="1"/>
    <col min="9986" max="9986" width="30.140625" style="281" customWidth="1"/>
    <col min="9987" max="9987" width="7.42578125" style="281" customWidth="1"/>
    <col min="9988" max="9988" width="20" style="281" customWidth="1"/>
    <col min="9989" max="9989" width="16" style="281" customWidth="1"/>
    <col min="9990" max="9990" width="11.5703125" style="281" customWidth="1"/>
    <col min="9991" max="10240" width="9.140625" style="281"/>
    <col min="10241" max="10241" width="4.140625" style="281" customWidth="1"/>
    <col min="10242" max="10242" width="30.140625" style="281" customWidth="1"/>
    <col min="10243" max="10243" width="7.42578125" style="281" customWidth="1"/>
    <col min="10244" max="10244" width="20" style="281" customWidth="1"/>
    <col min="10245" max="10245" width="16" style="281" customWidth="1"/>
    <col min="10246" max="10246" width="11.5703125" style="281" customWidth="1"/>
    <col min="10247" max="10496" width="9.140625" style="281"/>
    <col min="10497" max="10497" width="4.140625" style="281" customWidth="1"/>
    <col min="10498" max="10498" width="30.140625" style="281" customWidth="1"/>
    <col min="10499" max="10499" width="7.42578125" style="281" customWidth="1"/>
    <col min="10500" max="10500" width="20" style="281" customWidth="1"/>
    <col min="10501" max="10501" width="16" style="281" customWidth="1"/>
    <col min="10502" max="10502" width="11.5703125" style="281" customWidth="1"/>
    <col min="10503" max="10752" width="9.140625" style="281"/>
    <col min="10753" max="10753" width="4.140625" style="281" customWidth="1"/>
    <col min="10754" max="10754" width="30.140625" style="281" customWidth="1"/>
    <col min="10755" max="10755" width="7.42578125" style="281" customWidth="1"/>
    <col min="10756" max="10756" width="20" style="281" customWidth="1"/>
    <col min="10757" max="10757" width="16" style="281" customWidth="1"/>
    <col min="10758" max="10758" width="11.5703125" style="281" customWidth="1"/>
    <col min="10759" max="11008" width="9.140625" style="281"/>
    <col min="11009" max="11009" width="4.140625" style="281" customWidth="1"/>
    <col min="11010" max="11010" width="30.140625" style="281" customWidth="1"/>
    <col min="11011" max="11011" width="7.42578125" style="281" customWidth="1"/>
    <col min="11012" max="11012" width="20" style="281" customWidth="1"/>
    <col min="11013" max="11013" width="16" style="281" customWidth="1"/>
    <col min="11014" max="11014" width="11.5703125" style="281" customWidth="1"/>
    <col min="11015" max="11264" width="9.140625" style="281"/>
    <col min="11265" max="11265" width="4.140625" style="281" customWidth="1"/>
    <col min="11266" max="11266" width="30.140625" style="281" customWidth="1"/>
    <col min="11267" max="11267" width="7.42578125" style="281" customWidth="1"/>
    <col min="11268" max="11268" width="20" style="281" customWidth="1"/>
    <col min="11269" max="11269" width="16" style="281" customWidth="1"/>
    <col min="11270" max="11270" width="11.5703125" style="281" customWidth="1"/>
    <col min="11271" max="11520" width="9.140625" style="281"/>
    <col min="11521" max="11521" width="4.140625" style="281" customWidth="1"/>
    <col min="11522" max="11522" width="30.140625" style="281" customWidth="1"/>
    <col min="11523" max="11523" width="7.42578125" style="281" customWidth="1"/>
    <col min="11524" max="11524" width="20" style="281" customWidth="1"/>
    <col min="11525" max="11525" width="16" style="281" customWidth="1"/>
    <col min="11526" max="11526" width="11.5703125" style="281" customWidth="1"/>
    <col min="11527" max="11776" width="9.140625" style="281"/>
    <col min="11777" max="11777" width="4.140625" style="281" customWidth="1"/>
    <col min="11778" max="11778" width="30.140625" style="281" customWidth="1"/>
    <col min="11779" max="11779" width="7.42578125" style="281" customWidth="1"/>
    <col min="11780" max="11780" width="20" style="281" customWidth="1"/>
    <col min="11781" max="11781" width="16" style="281" customWidth="1"/>
    <col min="11782" max="11782" width="11.5703125" style="281" customWidth="1"/>
    <col min="11783" max="12032" width="9.140625" style="281"/>
    <col min="12033" max="12033" width="4.140625" style="281" customWidth="1"/>
    <col min="12034" max="12034" width="30.140625" style="281" customWidth="1"/>
    <col min="12035" max="12035" width="7.42578125" style="281" customWidth="1"/>
    <col min="12036" max="12036" width="20" style="281" customWidth="1"/>
    <col min="12037" max="12037" width="16" style="281" customWidth="1"/>
    <col min="12038" max="12038" width="11.5703125" style="281" customWidth="1"/>
    <col min="12039" max="12288" width="9.140625" style="281"/>
    <col min="12289" max="12289" width="4.140625" style="281" customWidth="1"/>
    <col min="12290" max="12290" width="30.140625" style="281" customWidth="1"/>
    <col min="12291" max="12291" width="7.42578125" style="281" customWidth="1"/>
    <col min="12292" max="12292" width="20" style="281" customWidth="1"/>
    <col min="12293" max="12293" width="16" style="281" customWidth="1"/>
    <col min="12294" max="12294" width="11.5703125" style="281" customWidth="1"/>
    <col min="12295" max="12544" width="9.140625" style="281"/>
    <col min="12545" max="12545" width="4.140625" style="281" customWidth="1"/>
    <col min="12546" max="12546" width="30.140625" style="281" customWidth="1"/>
    <col min="12547" max="12547" width="7.42578125" style="281" customWidth="1"/>
    <col min="12548" max="12548" width="20" style="281" customWidth="1"/>
    <col min="12549" max="12549" width="16" style="281" customWidth="1"/>
    <col min="12550" max="12550" width="11.5703125" style="281" customWidth="1"/>
    <col min="12551" max="12800" width="9.140625" style="281"/>
    <col min="12801" max="12801" width="4.140625" style="281" customWidth="1"/>
    <col min="12802" max="12802" width="30.140625" style="281" customWidth="1"/>
    <col min="12803" max="12803" width="7.42578125" style="281" customWidth="1"/>
    <col min="12804" max="12804" width="20" style="281" customWidth="1"/>
    <col min="12805" max="12805" width="16" style="281" customWidth="1"/>
    <col min="12806" max="12806" width="11.5703125" style="281" customWidth="1"/>
    <col min="12807" max="13056" width="9.140625" style="281"/>
    <col min="13057" max="13057" width="4.140625" style="281" customWidth="1"/>
    <col min="13058" max="13058" width="30.140625" style="281" customWidth="1"/>
    <col min="13059" max="13059" width="7.42578125" style="281" customWidth="1"/>
    <col min="13060" max="13060" width="20" style="281" customWidth="1"/>
    <col min="13061" max="13061" width="16" style="281" customWidth="1"/>
    <col min="13062" max="13062" width="11.5703125" style="281" customWidth="1"/>
    <col min="13063" max="13312" width="9.140625" style="281"/>
    <col min="13313" max="13313" width="4.140625" style="281" customWidth="1"/>
    <col min="13314" max="13314" width="30.140625" style="281" customWidth="1"/>
    <col min="13315" max="13315" width="7.42578125" style="281" customWidth="1"/>
    <col min="13316" max="13316" width="20" style="281" customWidth="1"/>
    <col min="13317" max="13317" width="16" style="281" customWidth="1"/>
    <col min="13318" max="13318" width="11.5703125" style="281" customWidth="1"/>
    <col min="13319" max="13568" width="9.140625" style="281"/>
    <col min="13569" max="13569" width="4.140625" style="281" customWidth="1"/>
    <col min="13570" max="13570" width="30.140625" style="281" customWidth="1"/>
    <col min="13571" max="13571" width="7.42578125" style="281" customWidth="1"/>
    <col min="13572" max="13572" width="20" style="281" customWidth="1"/>
    <col min="13573" max="13573" width="16" style="281" customWidth="1"/>
    <col min="13574" max="13574" width="11.5703125" style="281" customWidth="1"/>
    <col min="13575" max="13824" width="9.140625" style="281"/>
    <col min="13825" max="13825" width="4.140625" style="281" customWidth="1"/>
    <col min="13826" max="13826" width="30.140625" style="281" customWidth="1"/>
    <col min="13827" max="13827" width="7.42578125" style="281" customWidth="1"/>
    <col min="13828" max="13828" width="20" style="281" customWidth="1"/>
    <col min="13829" max="13829" width="16" style="281" customWidth="1"/>
    <col min="13830" max="13830" width="11.5703125" style="281" customWidth="1"/>
    <col min="13831" max="14080" width="9.140625" style="281"/>
    <col min="14081" max="14081" width="4.140625" style="281" customWidth="1"/>
    <col min="14082" max="14082" width="30.140625" style="281" customWidth="1"/>
    <col min="14083" max="14083" width="7.42578125" style="281" customWidth="1"/>
    <col min="14084" max="14084" width="20" style="281" customWidth="1"/>
    <col min="14085" max="14085" width="16" style="281" customWidth="1"/>
    <col min="14086" max="14086" width="11.5703125" style="281" customWidth="1"/>
    <col min="14087" max="14336" width="9.140625" style="281"/>
    <col min="14337" max="14337" width="4.140625" style="281" customWidth="1"/>
    <col min="14338" max="14338" width="30.140625" style="281" customWidth="1"/>
    <col min="14339" max="14339" width="7.42578125" style="281" customWidth="1"/>
    <col min="14340" max="14340" width="20" style="281" customWidth="1"/>
    <col min="14341" max="14341" width="16" style="281" customWidth="1"/>
    <col min="14342" max="14342" width="11.5703125" style="281" customWidth="1"/>
    <col min="14343" max="14592" width="9.140625" style="281"/>
    <col min="14593" max="14593" width="4.140625" style="281" customWidth="1"/>
    <col min="14594" max="14594" width="30.140625" style="281" customWidth="1"/>
    <col min="14595" max="14595" width="7.42578125" style="281" customWidth="1"/>
    <col min="14596" max="14596" width="20" style="281" customWidth="1"/>
    <col min="14597" max="14597" width="16" style="281" customWidth="1"/>
    <col min="14598" max="14598" width="11.5703125" style="281" customWidth="1"/>
    <col min="14599" max="14848" width="9.140625" style="281"/>
    <col min="14849" max="14849" width="4.140625" style="281" customWidth="1"/>
    <col min="14850" max="14850" width="30.140625" style="281" customWidth="1"/>
    <col min="14851" max="14851" width="7.42578125" style="281" customWidth="1"/>
    <col min="14852" max="14852" width="20" style="281" customWidth="1"/>
    <col min="14853" max="14853" width="16" style="281" customWidth="1"/>
    <col min="14854" max="14854" width="11.5703125" style="281" customWidth="1"/>
    <col min="14855" max="15104" width="9.140625" style="281"/>
    <col min="15105" max="15105" width="4.140625" style="281" customWidth="1"/>
    <col min="15106" max="15106" width="30.140625" style="281" customWidth="1"/>
    <col min="15107" max="15107" width="7.42578125" style="281" customWidth="1"/>
    <col min="15108" max="15108" width="20" style="281" customWidth="1"/>
    <col min="15109" max="15109" width="16" style="281" customWidth="1"/>
    <col min="15110" max="15110" width="11.5703125" style="281" customWidth="1"/>
    <col min="15111" max="15360" width="9.140625" style="281"/>
    <col min="15361" max="15361" width="4.140625" style="281" customWidth="1"/>
    <col min="15362" max="15362" width="30.140625" style="281" customWidth="1"/>
    <col min="15363" max="15363" width="7.42578125" style="281" customWidth="1"/>
    <col min="15364" max="15364" width="20" style="281" customWidth="1"/>
    <col min="15365" max="15365" width="16" style="281" customWidth="1"/>
    <col min="15366" max="15366" width="11.5703125" style="281" customWidth="1"/>
    <col min="15367" max="15616" width="9.140625" style="281"/>
    <col min="15617" max="15617" width="4.140625" style="281" customWidth="1"/>
    <col min="15618" max="15618" width="30.140625" style="281" customWidth="1"/>
    <col min="15619" max="15619" width="7.42578125" style="281" customWidth="1"/>
    <col min="15620" max="15620" width="20" style="281" customWidth="1"/>
    <col min="15621" max="15621" width="16" style="281" customWidth="1"/>
    <col min="15622" max="15622" width="11.5703125" style="281" customWidth="1"/>
    <col min="15623" max="15872" width="9.140625" style="281"/>
    <col min="15873" max="15873" width="4.140625" style="281" customWidth="1"/>
    <col min="15874" max="15874" width="30.140625" style="281" customWidth="1"/>
    <col min="15875" max="15875" width="7.42578125" style="281" customWidth="1"/>
    <col min="15876" max="15876" width="20" style="281" customWidth="1"/>
    <col min="15877" max="15877" width="16" style="281" customWidth="1"/>
    <col min="15878" max="15878" width="11.5703125" style="281" customWidth="1"/>
    <col min="15879" max="16128" width="9.140625" style="281"/>
    <col min="16129" max="16129" width="4.140625" style="281" customWidth="1"/>
    <col min="16130" max="16130" width="30.140625" style="281" customWidth="1"/>
    <col min="16131" max="16131" width="7.42578125" style="281" customWidth="1"/>
    <col min="16132" max="16132" width="20" style="281" customWidth="1"/>
    <col min="16133" max="16133" width="16" style="281" customWidth="1"/>
    <col min="16134" max="16134" width="11.5703125" style="281" customWidth="1"/>
    <col min="16135" max="16384" width="9.140625" style="281"/>
  </cols>
  <sheetData>
    <row r="1" spans="1:8" s="277" customFormat="1" ht="15.75" x14ac:dyDescent="0.25">
      <c r="A1" s="276"/>
      <c r="B1" s="278"/>
      <c r="C1" s="534" t="s">
        <v>312</v>
      </c>
      <c r="D1" s="534"/>
      <c r="E1" s="534"/>
      <c r="F1" s="534"/>
    </row>
    <row r="2" spans="1:8" s="277" customFormat="1" ht="15.75" x14ac:dyDescent="0.25">
      <c r="A2" s="276"/>
      <c r="B2" s="278"/>
      <c r="C2" s="534" t="s">
        <v>127</v>
      </c>
      <c r="D2" s="534"/>
      <c r="E2" s="534"/>
      <c r="F2" s="534"/>
    </row>
    <row r="3" spans="1:8" s="277" customFormat="1" ht="15.75" x14ac:dyDescent="0.25">
      <c r="A3" s="276"/>
      <c r="B3" s="534" t="s">
        <v>167</v>
      </c>
      <c r="C3" s="534"/>
      <c r="D3" s="534"/>
      <c r="E3" s="534"/>
      <c r="F3" s="534"/>
    </row>
    <row r="4" spans="1:8" s="277" customFormat="1" ht="15.75" x14ac:dyDescent="0.25">
      <c r="A4" s="276"/>
      <c r="B4" s="534" t="s">
        <v>168</v>
      </c>
      <c r="C4" s="534"/>
      <c r="D4" s="534"/>
      <c r="E4" s="534"/>
      <c r="F4" s="534"/>
    </row>
    <row r="5" spans="1:8" s="277" customFormat="1" ht="15.75" x14ac:dyDescent="0.25">
      <c r="A5" s="276"/>
      <c r="B5" s="534" t="s">
        <v>533</v>
      </c>
      <c r="C5" s="534"/>
      <c r="D5" s="534"/>
      <c r="E5" s="534"/>
      <c r="F5" s="534"/>
    </row>
    <row r="6" spans="1:8" s="280" customFormat="1" ht="15.75" x14ac:dyDescent="0.25">
      <c r="A6" s="279" t="s">
        <v>622</v>
      </c>
      <c r="B6" s="279"/>
      <c r="C6" s="279"/>
      <c r="D6" s="279"/>
      <c r="E6" s="299"/>
      <c r="F6" s="279"/>
    </row>
    <row r="7" spans="1:8" x14ac:dyDescent="0.2">
      <c r="A7" s="535" t="s">
        <v>623</v>
      </c>
      <c r="B7" s="535"/>
      <c r="C7" s="535"/>
      <c r="D7" s="535"/>
      <c r="E7" s="535"/>
      <c r="F7" s="535"/>
    </row>
    <row r="8" spans="1:8" x14ac:dyDescent="0.2">
      <c r="A8" s="535" t="s">
        <v>642</v>
      </c>
      <c r="B8" s="535"/>
      <c r="C8" s="535"/>
      <c r="D8" s="535"/>
      <c r="E8" s="535"/>
      <c r="F8" s="535"/>
    </row>
    <row r="9" spans="1:8" x14ac:dyDescent="0.2">
      <c r="A9" s="282"/>
      <c r="B9" s="282"/>
      <c r="C9" s="282"/>
      <c r="D9" s="303"/>
      <c r="E9" s="300"/>
      <c r="F9" s="283" t="s">
        <v>624</v>
      </c>
    </row>
    <row r="10" spans="1:8" ht="29.25" customHeight="1" x14ac:dyDescent="0.2">
      <c r="A10" s="284" t="s">
        <v>274</v>
      </c>
      <c r="B10" s="284" t="s">
        <v>625</v>
      </c>
      <c r="C10" s="284" t="s">
        <v>626</v>
      </c>
      <c r="D10" s="287" t="s">
        <v>627</v>
      </c>
      <c r="E10" s="297" t="s">
        <v>628</v>
      </c>
      <c r="F10" s="284" t="s">
        <v>629</v>
      </c>
    </row>
    <row r="11" spans="1:8" ht="25.5" hidden="1" x14ac:dyDescent="0.2">
      <c r="A11" s="285">
        <v>1</v>
      </c>
      <c r="B11" s="286" t="s">
        <v>630</v>
      </c>
      <c r="C11" s="287">
        <v>340</v>
      </c>
      <c r="D11" s="286" t="s">
        <v>631</v>
      </c>
      <c r="E11" s="297" t="s">
        <v>632</v>
      </c>
      <c r="F11" s="288"/>
    </row>
    <row r="12" spans="1:8" ht="51" hidden="1" x14ac:dyDescent="0.2">
      <c r="A12" s="285">
        <v>2</v>
      </c>
      <c r="B12" s="286" t="s">
        <v>633</v>
      </c>
      <c r="C12" s="287">
        <v>340</v>
      </c>
      <c r="D12" s="286" t="s">
        <v>631</v>
      </c>
      <c r="E12" s="297" t="s">
        <v>634</v>
      </c>
      <c r="F12" s="288"/>
    </row>
    <row r="13" spans="1:8" ht="51" hidden="1" x14ac:dyDescent="0.2">
      <c r="A13" s="285">
        <v>3</v>
      </c>
      <c r="B13" s="286" t="s">
        <v>635</v>
      </c>
      <c r="C13" s="287">
        <v>340</v>
      </c>
      <c r="D13" s="286" t="s">
        <v>636</v>
      </c>
      <c r="E13" s="297" t="s">
        <v>637</v>
      </c>
      <c r="F13" s="288"/>
    </row>
    <row r="14" spans="1:8" ht="51" hidden="1" x14ac:dyDescent="0.2">
      <c r="A14" s="285">
        <v>4</v>
      </c>
      <c r="B14" s="286" t="s">
        <v>638</v>
      </c>
      <c r="C14" s="287">
        <v>340</v>
      </c>
      <c r="D14" s="286" t="s">
        <v>636</v>
      </c>
      <c r="E14" s="297" t="s">
        <v>639</v>
      </c>
      <c r="F14" s="288"/>
    </row>
    <row r="15" spans="1:8" hidden="1" x14ac:dyDescent="0.2">
      <c r="A15" s="285"/>
      <c r="B15" s="289" t="s">
        <v>126</v>
      </c>
      <c r="C15" s="290">
        <v>340</v>
      </c>
      <c r="D15" s="286"/>
      <c r="E15" s="297"/>
      <c r="F15" s="291">
        <f>SUM(F11:F14)</f>
        <v>0</v>
      </c>
      <c r="G15" s="281">
        <v>150</v>
      </c>
      <c r="H15" s="292">
        <f>G15-F15</f>
        <v>150</v>
      </c>
    </row>
    <row r="16" spans="1:8" ht="120" x14ac:dyDescent="0.2">
      <c r="A16" s="285">
        <v>1</v>
      </c>
      <c r="B16" s="296" t="s">
        <v>643</v>
      </c>
      <c r="C16" s="287">
        <v>296</v>
      </c>
      <c r="D16" s="296" t="s">
        <v>645</v>
      </c>
      <c r="E16" s="297" t="s">
        <v>640</v>
      </c>
      <c r="F16" s="288">
        <v>10</v>
      </c>
    </row>
    <row r="17" spans="1:6" ht="165" x14ac:dyDescent="0.2">
      <c r="A17" s="285">
        <v>2</v>
      </c>
      <c r="B17" s="296" t="s">
        <v>644</v>
      </c>
      <c r="C17" s="287">
        <v>296</v>
      </c>
      <c r="D17" s="296" t="s">
        <v>646</v>
      </c>
      <c r="E17" s="297" t="s">
        <v>640</v>
      </c>
      <c r="F17" s="288">
        <v>10</v>
      </c>
    </row>
    <row r="18" spans="1:6" hidden="1" x14ac:dyDescent="0.2">
      <c r="A18" s="285">
        <v>2</v>
      </c>
      <c r="B18" s="286"/>
      <c r="C18" s="287">
        <v>296</v>
      </c>
      <c r="D18" s="298"/>
      <c r="E18" s="297"/>
      <c r="F18" s="288"/>
    </row>
    <row r="19" spans="1:6" s="294" customFormat="1" hidden="1" x14ac:dyDescent="0.2">
      <c r="A19" s="289"/>
      <c r="B19" s="289" t="s">
        <v>126</v>
      </c>
      <c r="C19" s="290">
        <v>290</v>
      </c>
      <c r="D19" s="293"/>
      <c r="E19" s="301"/>
      <c r="F19" s="291">
        <f>+F16+F17+F18</f>
        <v>20</v>
      </c>
    </row>
    <row r="20" spans="1:6" hidden="1" x14ac:dyDescent="0.2">
      <c r="A20" s="285">
        <v>1</v>
      </c>
      <c r="B20" s="286"/>
      <c r="C20" s="284">
        <v>343</v>
      </c>
      <c r="D20" s="286"/>
      <c r="E20" s="297"/>
      <c r="F20" s="288"/>
    </row>
    <row r="21" spans="1:6" s="294" customFormat="1" hidden="1" x14ac:dyDescent="0.2">
      <c r="A21" s="289"/>
      <c r="B21" s="289" t="s">
        <v>126</v>
      </c>
      <c r="C21" s="290">
        <v>343</v>
      </c>
      <c r="D21" s="293"/>
      <c r="E21" s="301"/>
      <c r="F21" s="291">
        <f>+F20</f>
        <v>0</v>
      </c>
    </row>
    <row r="22" spans="1:6" s="294" customFormat="1" x14ac:dyDescent="0.2">
      <c r="A22" s="289"/>
      <c r="B22" s="293" t="s">
        <v>641</v>
      </c>
      <c r="C22" s="293"/>
      <c r="D22" s="293"/>
      <c r="E22" s="301"/>
      <c r="F22" s="295">
        <f>+F19+F21</f>
        <v>20</v>
      </c>
    </row>
  </sheetData>
  <mergeCells count="7">
    <mergeCell ref="A8:F8"/>
    <mergeCell ref="C1:F1"/>
    <mergeCell ref="C2:F2"/>
    <mergeCell ref="B3:F3"/>
    <mergeCell ref="B4:F4"/>
    <mergeCell ref="B5:F5"/>
    <mergeCell ref="A7:F7"/>
  </mergeCells>
  <pageMargins left="0.7" right="0.7" top="0.75" bottom="0.75" header="0.3" footer="0.3"/>
  <pageSetup paperSize="9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J149"/>
  <sheetViews>
    <sheetView topLeftCell="B121" workbookViewId="0">
      <selection activeCell="B134" sqref="B134:F149"/>
    </sheetView>
  </sheetViews>
  <sheetFormatPr defaultRowHeight="12.75" x14ac:dyDescent="0.2"/>
  <cols>
    <col min="1" max="1" width="11.140625" style="440" customWidth="1"/>
    <col min="2" max="2" width="36.5703125" customWidth="1"/>
    <col min="3" max="5" width="19.85546875" customWidth="1"/>
    <col min="7" max="7" width="13" customWidth="1"/>
    <col min="9" max="9" width="11.85546875" bestFit="1" customWidth="1"/>
    <col min="10" max="10" width="11.28515625" customWidth="1"/>
  </cols>
  <sheetData>
    <row r="4" spans="1:8" ht="13.5" thickBot="1" x14ac:dyDescent="0.25"/>
    <row r="5" spans="1:8" ht="15" x14ac:dyDescent="0.2">
      <c r="A5" s="536" t="s">
        <v>755</v>
      </c>
      <c r="B5" s="538" t="s">
        <v>0</v>
      </c>
      <c r="C5" s="540" t="s">
        <v>754</v>
      </c>
      <c r="D5" s="542" t="s">
        <v>592</v>
      </c>
      <c r="E5" s="485" t="s">
        <v>753</v>
      </c>
    </row>
    <row r="6" spans="1:8" ht="15.75" thickBot="1" x14ac:dyDescent="0.25">
      <c r="A6" s="537"/>
      <c r="B6" s="539"/>
      <c r="C6" s="541"/>
      <c r="D6" s="543"/>
      <c r="E6" s="484" t="s">
        <v>752</v>
      </c>
    </row>
    <row r="7" spans="1:8" ht="15.75" thickBot="1" x14ac:dyDescent="0.25">
      <c r="A7" s="482"/>
      <c r="B7" s="476" t="s">
        <v>751</v>
      </c>
      <c r="C7" s="481">
        <f>+C8+C9+C10+C11+C15+C18+C25+C28+C29+C34+C35+C36+C37</f>
        <v>500436.53951999999</v>
      </c>
      <c r="D7" s="481">
        <f>+D8+D9+D10+D11+D15+D18+D25+D28+D29+D34+D35+D36+D37</f>
        <v>493478.71951999998</v>
      </c>
      <c r="E7" s="478">
        <f t="shared" ref="E7:E27" si="0">D7/C7*100</f>
        <v>98.609649885543192</v>
      </c>
    </row>
    <row r="8" spans="1:8" ht="15.75" thickBot="1" x14ac:dyDescent="0.25">
      <c r="A8" s="482" t="s">
        <v>750</v>
      </c>
      <c r="B8" s="476" t="s">
        <v>749</v>
      </c>
      <c r="C8" s="481">
        <f>+'[2]9'!S20</f>
        <v>35499.25434</v>
      </c>
      <c r="D8" s="481">
        <f>+'[2]9'!T20</f>
        <v>35246.828849999998</v>
      </c>
      <c r="E8" s="478">
        <f t="shared" si="0"/>
        <v>99.288927345959564</v>
      </c>
    </row>
    <row r="9" spans="1:8" ht="15.75" thickBot="1" x14ac:dyDescent="0.25">
      <c r="A9" s="482" t="s">
        <v>748</v>
      </c>
      <c r="B9" s="476" t="s">
        <v>747</v>
      </c>
      <c r="C9" s="481">
        <f>+'[2]9'!S196</f>
        <v>1081.2</v>
      </c>
      <c r="D9" s="481">
        <f>+'[2]9'!T196</f>
        <v>1081.2</v>
      </c>
      <c r="E9" s="478">
        <f t="shared" si="0"/>
        <v>100</v>
      </c>
      <c r="G9">
        <f>+'[2]9'!S19</f>
        <v>500436.53951999999</v>
      </c>
      <c r="H9">
        <f>+'[2]9'!T19</f>
        <v>493478.71951999998</v>
      </c>
    </row>
    <row r="10" spans="1:8" ht="15.75" thickBot="1" x14ac:dyDescent="0.25">
      <c r="A10" s="482" t="s">
        <v>746</v>
      </c>
      <c r="B10" s="476" t="s">
        <v>745</v>
      </c>
      <c r="C10" s="481">
        <f>+'[2]9'!S210</f>
        <v>1646.2934700000001</v>
      </c>
      <c r="D10" s="481">
        <f>+'[2]9'!T210</f>
        <v>1646.2645099999997</v>
      </c>
      <c r="E10" s="478">
        <f t="shared" si="0"/>
        <v>99.998240896867543</v>
      </c>
      <c r="G10" s="483">
        <f>G9-C7</f>
        <v>0</v>
      </c>
      <c r="H10" s="483">
        <f>H9-D7</f>
        <v>0</v>
      </c>
    </row>
    <row r="11" spans="1:8" ht="15.75" thickBot="1" x14ac:dyDescent="0.25">
      <c r="A11" s="482" t="s">
        <v>744</v>
      </c>
      <c r="B11" s="476" t="s">
        <v>743</v>
      </c>
      <c r="C11" s="481">
        <f>+C12+C13+C14</f>
        <v>5653.9000900000001</v>
      </c>
      <c r="D11" s="481">
        <f>+D12+D13+D14</f>
        <v>5606.2152100000003</v>
      </c>
      <c r="E11" s="478">
        <f t="shared" si="0"/>
        <v>99.156602004971049</v>
      </c>
    </row>
    <row r="12" spans="1:8" ht="15.75" thickBot="1" x14ac:dyDescent="0.25">
      <c r="A12" s="482" t="s">
        <v>742</v>
      </c>
      <c r="B12" s="476" t="s">
        <v>741</v>
      </c>
      <c r="C12" s="481">
        <f>+'[2]9'!S224</f>
        <v>3210.6912199999997</v>
      </c>
      <c r="D12" s="481">
        <f>+'[2]9'!T224</f>
        <v>3210.5284299999998</v>
      </c>
      <c r="E12" s="478">
        <f t="shared" si="0"/>
        <v>99.994929752229496</v>
      </c>
    </row>
    <row r="13" spans="1:8" ht="15.75" thickBot="1" x14ac:dyDescent="0.25">
      <c r="A13" s="482" t="s">
        <v>740</v>
      </c>
      <c r="B13" s="476" t="s">
        <v>739</v>
      </c>
      <c r="C13" s="481">
        <f>+'[2]9'!S255</f>
        <v>1057.3706</v>
      </c>
      <c r="D13" s="481">
        <f>+'[2]9'!T255</f>
        <v>1009.8941</v>
      </c>
      <c r="E13" s="478">
        <f t="shared" si="0"/>
        <v>95.509947032762213</v>
      </c>
    </row>
    <row r="14" spans="1:8" ht="30.75" thickBot="1" x14ac:dyDescent="0.25">
      <c r="A14" s="482" t="s">
        <v>738</v>
      </c>
      <c r="B14" s="476" t="s">
        <v>424</v>
      </c>
      <c r="C14" s="481">
        <f>+'[2]9'!S262</f>
        <v>1385.8382700000002</v>
      </c>
      <c r="D14" s="481">
        <f>+'[2]9'!T262</f>
        <v>1385.79268</v>
      </c>
      <c r="E14" s="478">
        <f t="shared" si="0"/>
        <v>99.99671029434046</v>
      </c>
    </row>
    <row r="15" spans="1:8" ht="15.75" thickBot="1" x14ac:dyDescent="0.25">
      <c r="A15" s="482" t="s">
        <v>737</v>
      </c>
      <c r="B15" s="476" t="s">
        <v>736</v>
      </c>
      <c r="C15" s="481">
        <f>+C16+C17</f>
        <v>6040.6995000000006</v>
      </c>
      <c r="D15" s="481">
        <f>+D16+D17</f>
        <v>6018.5953799999997</v>
      </c>
      <c r="E15" s="478">
        <f t="shared" si="0"/>
        <v>99.634080125985392</v>
      </c>
    </row>
    <row r="16" spans="1:8" ht="15.75" thickBot="1" x14ac:dyDescent="0.25">
      <c r="A16" s="482" t="s">
        <v>735</v>
      </c>
      <c r="B16" s="476" t="s">
        <v>734</v>
      </c>
      <c r="C16" s="481">
        <f>+'[2]9'!S280</f>
        <v>1908.3855000000001</v>
      </c>
      <c r="D16" s="481">
        <f>+'[2]9'!T280</f>
        <v>1886.2850000000001</v>
      </c>
      <c r="E16" s="478">
        <f t="shared" si="0"/>
        <v>98.841926853877268</v>
      </c>
    </row>
    <row r="17" spans="1:5" ht="15.75" thickBot="1" x14ac:dyDescent="0.25">
      <c r="A17" s="482" t="s">
        <v>733</v>
      </c>
      <c r="B17" s="476" t="s">
        <v>96</v>
      </c>
      <c r="C17" s="481">
        <f>+'[2]9'!S299</f>
        <v>4132.3140000000003</v>
      </c>
      <c r="D17" s="481">
        <f>+'[2]9'!T299</f>
        <v>4132.3103799999999</v>
      </c>
      <c r="E17" s="478">
        <f t="shared" si="0"/>
        <v>99.999912397750975</v>
      </c>
    </row>
    <row r="18" spans="1:5" ht="15.75" thickBot="1" x14ac:dyDescent="0.25">
      <c r="A18" s="479" t="s">
        <v>732</v>
      </c>
      <c r="B18" s="476" t="s">
        <v>691</v>
      </c>
      <c r="C18" s="475">
        <f>+C19+C20+C21+C22+C23+C24</f>
        <v>321125.98638999992</v>
      </c>
      <c r="D18" s="475">
        <f>+D19+D20+D21+D22+D23+D24</f>
        <v>316301.17125999997</v>
      </c>
      <c r="E18" s="478">
        <f t="shared" si="0"/>
        <v>98.497532017187694</v>
      </c>
    </row>
    <row r="19" spans="1:5" ht="15.75" thickBot="1" x14ac:dyDescent="0.25">
      <c r="A19" s="479" t="s">
        <v>731</v>
      </c>
      <c r="B19" s="476" t="s">
        <v>68</v>
      </c>
      <c r="C19" s="475">
        <f>+'[2]9'!S313</f>
        <v>103923.79003999999</v>
      </c>
      <c r="D19" s="475">
        <f>+'[2]9'!T313</f>
        <v>101755.39501000001</v>
      </c>
      <c r="E19" s="478">
        <f t="shared" si="0"/>
        <v>97.913475798789307</v>
      </c>
    </row>
    <row r="20" spans="1:5" ht="15.75" thickBot="1" x14ac:dyDescent="0.25">
      <c r="A20" s="479" t="s">
        <v>730</v>
      </c>
      <c r="B20" s="476" t="s">
        <v>71</v>
      </c>
      <c r="C20" s="475">
        <f>+'[2]9'!S326</f>
        <v>177603.49064</v>
      </c>
      <c r="D20" s="475">
        <f>+'[2]9'!T326</f>
        <v>175599.38703999997</v>
      </c>
      <c r="E20" s="478">
        <f t="shared" si="0"/>
        <v>98.871585466716795</v>
      </c>
    </row>
    <row r="21" spans="1:5" ht="15.75" thickBot="1" x14ac:dyDescent="0.25">
      <c r="A21" s="479" t="s">
        <v>729</v>
      </c>
      <c r="B21" s="476" t="s">
        <v>441</v>
      </c>
      <c r="C21" s="475">
        <f>+'[2]9'!S357</f>
        <v>20142.355349999998</v>
      </c>
      <c r="D21" s="475">
        <f>+'[2]9'!T357</f>
        <v>19528.336309999999</v>
      </c>
      <c r="E21" s="478">
        <f t="shared" si="0"/>
        <v>96.951602584054314</v>
      </c>
    </row>
    <row r="22" spans="1:5" ht="30.75" hidden="1" thickBot="1" x14ac:dyDescent="0.25">
      <c r="A22" s="479" t="s">
        <v>728</v>
      </c>
      <c r="B22" s="476" t="s">
        <v>727</v>
      </c>
      <c r="C22" s="480"/>
      <c r="D22" s="480"/>
      <c r="E22" s="478" t="e">
        <f t="shared" si="0"/>
        <v>#DIV/0!</v>
      </c>
    </row>
    <row r="23" spans="1:5" ht="15.75" thickBot="1" x14ac:dyDescent="0.25">
      <c r="A23" s="479" t="s">
        <v>726</v>
      </c>
      <c r="B23" s="476" t="s">
        <v>447</v>
      </c>
      <c r="C23" s="475">
        <f>+'[2]9'!S373</f>
        <v>1439.05</v>
      </c>
      <c r="D23" s="475">
        <f>+'[2]9'!T373</f>
        <v>1439.0450499999999</v>
      </c>
      <c r="E23" s="478">
        <f t="shared" si="0"/>
        <v>99.99965602307077</v>
      </c>
    </row>
    <row r="24" spans="1:5" ht="30.75" thickBot="1" x14ac:dyDescent="0.25">
      <c r="A24" s="479" t="s">
        <v>725</v>
      </c>
      <c r="B24" s="476" t="s">
        <v>75</v>
      </c>
      <c r="C24" s="475">
        <f>+'[2]9'!S380</f>
        <v>18017.300360000001</v>
      </c>
      <c r="D24" s="475">
        <f>+'[2]9'!T380</f>
        <v>17979.007850000002</v>
      </c>
      <c r="E24" s="478">
        <f t="shared" si="0"/>
        <v>99.787468104350353</v>
      </c>
    </row>
    <row r="25" spans="1:5" ht="15.75" thickBot="1" x14ac:dyDescent="0.25">
      <c r="A25" s="479" t="s">
        <v>724</v>
      </c>
      <c r="B25" s="476" t="s">
        <v>723</v>
      </c>
      <c r="C25" s="475">
        <f>+C26+C27</f>
        <v>51157.337620000006</v>
      </c>
      <c r="D25" s="475">
        <f>+D26+D27</f>
        <v>50474.313000000002</v>
      </c>
      <c r="E25" s="478">
        <f t="shared" si="0"/>
        <v>98.664855030037813</v>
      </c>
    </row>
    <row r="26" spans="1:5" ht="15.75" thickBot="1" x14ac:dyDescent="0.25">
      <c r="A26" s="479" t="s">
        <v>722</v>
      </c>
      <c r="B26" s="476" t="s">
        <v>13</v>
      </c>
      <c r="C26" s="475">
        <f>+'[2]9'!S431</f>
        <v>48342.636590000009</v>
      </c>
      <c r="D26" s="475">
        <f>+'[2]9'!T431</f>
        <v>47659.617969999999</v>
      </c>
      <c r="E26" s="478">
        <f t="shared" si="0"/>
        <v>98.587129978464404</v>
      </c>
    </row>
    <row r="27" spans="1:5" ht="15.75" thickBot="1" x14ac:dyDescent="0.25">
      <c r="A27" s="479" t="s">
        <v>721</v>
      </c>
      <c r="B27" s="476" t="s">
        <v>720</v>
      </c>
      <c r="C27" s="475">
        <f>+'[2]9'!S479</f>
        <v>2814.7010300000002</v>
      </c>
      <c r="D27" s="475">
        <f>+'[2]9'!T479</f>
        <v>2814.6950299999999</v>
      </c>
      <c r="E27" s="478">
        <f t="shared" si="0"/>
        <v>99.999786833488301</v>
      </c>
    </row>
    <row r="28" spans="1:5" ht="15.75" thickBot="1" x14ac:dyDescent="0.25">
      <c r="A28" s="479" t="s">
        <v>719</v>
      </c>
      <c r="B28" s="476" t="s">
        <v>718</v>
      </c>
      <c r="C28" s="475">
        <f>+'[2]9'!S503</f>
        <v>213.01000000000002</v>
      </c>
      <c r="D28" s="475">
        <f>+'[2]9'!T503</f>
        <v>213.00800000000001</v>
      </c>
      <c r="E28" s="478"/>
    </row>
    <row r="29" spans="1:5" ht="15.75" thickBot="1" x14ac:dyDescent="0.25">
      <c r="A29" s="479" t="s">
        <v>717</v>
      </c>
      <c r="B29" s="476" t="s">
        <v>716</v>
      </c>
      <c r="C29" s="475">
        <f>+C30+C31+C32+C33</f>
        <v>59788.273800000003</v>
      </c>
      <c r="D29" s="475">
        <f>+D30+D31+D32+D33</f>
        <v>58660.588279999996</v>
      </c>
      <c r="E29" s="478">
        <f t="shared" ref="E29:E37" si="1">D29/C29*100</f>
        <v>98.113868408758094</v>
      </c>
    </row>
    <row r="30" spans="1:5" ht="15.75" hidden="1" thickBot="1" x14ac:dyDescent="0.25">
      <c r="A30" s="479">
        <v>1001</v>
      </c>
      <c r="B30" s="476" t="s">
        <v>715</v>
      </c>
      <c r="C30" s="480"/>
      <c r="D30" s="480"/>
      <c r="E30" s="478" t="e">
        <f t="shared" si="1"/>
        <v>#DIV/0!</v>
      </c>
    </row>
    <row r="31" spans="1:5" ht="15.75" thickBot="1" x14ac:dyDescent="0.25">
      <c r="A31" s="479">
        <v>1003</v>
      </c>
      <c r="B31" s="476" t="s">
        <v>52</v>
      </c>
      <c r="C31" s="475">
        <f>+'[2]9'!S511</f>
        <v>26071.405589999998</v>
      </c>
      <c r="D31" s="475">
        <f>+'[2]9'!T511</f>
        <v>24999.150139999998</v>
      </c>
      <c r="E31" s="478">
        <f t="shared" si="1"/>
        <v>95.887235744545833</v>
      </c>
    </row>
    <row r="32" spans="1:5" ht="15.75" thickBot="1" x14ac:dyDescent="0.25">
      <c r="A32" s="479">
        <v>1004</v>
      </c>
      <c r="B32" s="476" t="s">
        <v>502</v>
      </c>
      <c r="C32" s="475">
        <f>+'[2]9'!S610</f>
        <v>30183.15</v>
      </c>
      <c r="D32" s="475">
        <f>+'[2]9'!T610</f>
        <v>30127.814869999998</v>
      </c>
      <c r="E32" s="478">
        <f t="shared" si="1"/>
        <v>99.816668803620558</v>
      </c>
    </row>
    <row r="33" spans="1:5" ht="30.75" thickBot="1" x14ac:dyDescent="0.25">
      <c r="A33" s="479" t="s">
        <v>714</v>
      </c>
      <c r="B33" s="476" t="s">
        <v>57</v>
      </c>
      <c r="C33" s="475">
        <f>+'[2]9'!S631</f>
        <v>3533.71821</v>
      </c>
      <c r="D33" s="475">
        <f>+'[2]9'!T631</f>
        <v>3533.62327</v>
      </c>
      <c r="E33" s="478">
        <f t="shared" si="1"/>
        <v>99.997313311521808</v>
      </c>
    </row>
    <row r="34" spans="1:5" ht="15.75" thickBot="1" x14ac:dyDescent="0.25">
      <c r="A34" s="479">
        <v>1100</v>
      </c>
      <c r="B34" s="476" t="s">
        <v>713</v>
      </c>
      <c r="C34" s="475">
        <f>+'[2]9'!S654</f>
        <v>1183</v>
      </c>
      <c r="D34" s="475">
        <f>+'[2]9'!T654</f>
        <v>1182.9516900000001</v>
      </c>
      <c r="E34" s="478">
        <f t="shared" si="1"/>
        <v>99.995916314454774</v>
      </c>
    </row>
    <row r="35" spans="1:5" ht="15.75" thickBot="1" x14ac:dyDescent="0.25">
      <c r="A35" s="479">
        <v>1200</v>
      </c>
      <c r="B35" s="476" t="s">
        <v>712</v>
      </c>
      <c r="C35" s="475">
        <f>+'[2]9'!S675</f>
        <v>82.850970000000004</v>
      </c>
      <c r="D35" s="475">
        <f>+'[2]9'!T675</f>
        <v>82.85</v>
      </c>
      <c r="E35" s="478">
        <f t="shared" si="1"/>
        <v>99.998829223121945</v>
      </c>
    </row>
    <row r="36" spans="1:5" ht="15.75" hidden="1" thickBot="1" x14ac:dyDescent="0.25">
      <c r="A36" s="479">
        <v>1300</v>
      </c>
      <c r="B36" s="476" t="s">
        <v>711</v>
      </c>
      <c r="C36" s="480"/>
      <c r="D36" s="480"/>
      <c r="E36" s="478" t="e">
        <f t="shared" si="1"/>
        <v>#DIV/0!</v>
      </c>
    </row>
    <row r="37" spans="1:5" ht="45.75" thickBot="1" x14ac:dyDescent="0.25">
      <c r="A37" s="479">
        <v>1400</v>
      </c>
      <c r="B37" s="476" t="s">
        <v>710</v>
      </c>
      <c r="C37" s="475">
        <f>+'[2]9'!S682</f>
        <v>16964.733339999999</v>
      </c>
      <c r="D37" s="475">
        <f>+'[2]9'!T682</f>
        <v>16964.733339999999</v>
      </c>
      <c r="E37" s="478">
        <f t="shared" si="1"/>
        <v>100</v>
      </c>
    </row>
    <row r="38" spans="1:5" ht="18" thickBot="1" x14ac:dyDescent="0.25">
      <c r="A38" s="477"/>
      <c r="B38" s="476" t="s">
        <v>709</v>
      </c>
      <c r="C38" s="475">
        <f>+'[2]1'!C20</f>
        <v>-1304.7107100000139</v>
      </c>
      <c r="D38" s="475">
        <f>+'[2]1'!D20</f>
        <v>-1113.5017400001525</v>
      </c>
      <c r="E38" s="474" t="s">
        <v>708</v>
      </c>
    </row>
    <row r="68" spans="1:6" ht="78.75" x14ac:dyDescent="0.2">
      <c r="B68" s="466" t="s">
        <v>707</v>
      </c>
      <c r="C68" s="466" t="s">
        <v>706</v>
      </c>
      <c r="D68" s="469" t="s">
        <v>705</v>
      </c>
      <c r="E68" s="469" t="s">
        <v>704</v>
      </c>
      <c r="F68" s="469" t="s">
        <v>703</v>
      </c>
    </row>
    <row r="69" spans="1:6" ht="15.75" x14ac:dyDescent="0.2">
      <c r="B69" s="468" t="s">
        <v>702</v>
      </c>
      <c r="C69" s="468">
        <v>83</v>
      </c>
      <c r="D69" s="468">
        <v>29951</v>
      </c>
      <c r="E69" s="468">
        <v>29545</v>
      </c>
      <c r="F69" s="473">
        <f>E69/D69*100</f>
        <v>98.644452605923007</v>
      </c>
    </row>
    <row r="70" spans="1:6" ht="15.75" x14ac:dyDescent="0.2">
      <c r="B70" s="468" t="s">
        <v>701</v>
      </c>
      <c r="C70" s="468">
        <v>175</v>
      </c>
      <c r="D70" s="468">
        <v>33158</v>
      </c>
      <c r="E70" s="468">
        <v>30874</v>
      </c>
      <c r="F70" s="473">
        <f>E70/D70*100</f>
        <v>93.111767899149527</v>
      </c>
    </row>
    <row r="71" spans="1:6" ht="15.75" x14ac:dyDescent="0.2">
      <c r="B71" s="468" t="s">
        <v>700</v>
      </c>
      <c r="C71" s="468">
        <f>(9+16.61)</f>
        <v>25.61</v>
      </c>
      <c r="D71" s="468">
        <v>29936</v>
      </c>
      <c r="E71" s="468">
        <f>(28653+29706)/2</f>
        <v>29179.5</v>
      </c>
      <c r="F71" s="473">
        <f>E71/D71*100</f>
        <v>97.472942276857296</v>
      </c>
    </row>
    <row r="72" spans="1:6" ht="15.75" x14ac:dyDescent="0.2">
      <c r="B72" s="468" t="s">
        <v>13</v>
      </c>
      <c r="C72" s="468">
        <v>44</v>
      </c>
      <c r="D72" s="468">
        <v>33158</v>
      </c>
      <c r="E72" s="468">
        <v>30749</v>
      </c>
      <c r="F72" s="473">
        <f>E72/D72*100</f>
        <v>92.734784968936594</v>
      </c>
    </row>
    <row r="73" spans="1:6" s="459" customFormat="1" ht="15.75" x14ac:dyDescent="0.2">
      <c r="A73" s="462"/>
      <c r="B73" s="472" t="s">
        <v>641</v>
      </c>
      <c r="C73" s="471">
        <f>SUM(C69:C72)</f>
        <v>327.61</v>
      </c>
      <c r="D73" s="471">
        <f>(D69+D70+D71+D72)/4</f>
        <v>31550.75</v>
      </c>
      <c r="E73" s="471">
        <f>(E69+E70+E71+E72)/4</f>
        <v>30086.875</v>
      </c>
      <c r="F73" s="470">
        <f>E73/D73*100</f>
        <v>95.360252925841706</v>
      </c>
    </row>
    <row r="85" spans="2:5" ht="15.75" x14ac:dyDescent="0.2">
      <c r="B85" s="544" t="s">
        <v>0</v>
      </c>
      <c r="C85" s="544" t="s">
        <v>126</v>
      </c>
      <c r="D85" s="544" t="s">
        <v>699</v>
      </c>
      <c r="E85" s="544"/>
    </row>
    <row r="86" spans="2:5" ht="31.5" x14ac:dyDescent="0.2">
      <c r="B86" s="544"/>
      <c r="C86" s="544"/>
      <c r="D86" s="469" t="s">
        <v>698</v>
      </c>
      <c r="E86" s="469" t="s">
        <v>697</v>
      </c>
    </row>
    <row r="87" spans="2:5" ht="15.75" x14ac:dyDescent="0.2">
      <c r="B87" s="466" t="s">
        <v>691</v>
      </c>
      <c r="C87" s="465">
        <f>+C88+C89+C90</f>
        <v>14788.704870000001</v>
      </c>
      <c r="D87" s="465">
        <f>+D88+D89+D90</f>
        <v>10599.048839999999</v>
      </c>
      <c r="E87" s="465">
        <f>+E88+E89+E90</f>
        <v>4189.6560300000001</v>
      </c>
    </row>
    <row r="88" spans="2:5" ht="15.75" x14ac:dyDescent="0.2">
      <c r="B88" s="468" t="s">
        <v>695</v>
      </c>
      <c r="C88" s="465">
        <f>+D88+E88</f>
        <v>2041.9958700000002</v>
      </c>
      <c r="D88" s="467">
        <v>1289.74127</v>
      </c>
      <c r="E88" s="467">
        <v>752.2546000000001</v>
      </c>
    </row>
    <row r="89" spans="2:5" ht="15.75" x14ac:dyDescent="0.2">
      <c r="B89" s="468" t="s">
        <v>694</v>
      </c>
      <c r="C89" s="465">
        <f>+D89+E89</f>
        <v>9124.0020000000004</v>
      </c>
      <c r="D89" s="467">
        <v>6294.0845099999997</v>
      </c>
      <c r="E89" s="467">
        <v>2829.9174899999998</v>
      </c>
    </row>
    <row r="90" spans="2:5" ht="15.75" x14ac:dyDescent="0.2">
      <c r="B90" s="468" t="s">
        <v>693</v>
      </c>
      <c r="C90" s="465">
        <f>+D90+E90</f>
        <v>3622.7070000000003</v>
      </c>
      <c r="D90" s="467">
        <v>3015.2230600000003</v>
      </c>
      <c r="E90" s="467">
        <v>607.48394000000008</v>
      </c>
    </row>
    <row r="91" spans="2:5" ht="15.75" x14ac:dyDescent="0.2">
      <c r="B91" s="466" t="s">
        <v>13</v>
      </c>
      <c r="C91" s="465">
        <f>+C92+C93+C94</f>
        <v>3560.1330100000005</v>
      </c>
      <c r="D91" s="465">
        <f>+D92+D93+D94</f>
        <v>2513.1725500000002</v>
      </c>
      <c r="E91" s="465">
        <f>+E92+E93+E94</f>
        <v>1046.96046</v>
      </c>
    </row>
    <row r="92" spans="2:5" ht="15.75" x14ac:dyDescent="0.2">
      <c r="B92" s="468" t="s">
        <v>695</v>
      </c>
      <c r="C92" s="465">
        <f>+D92+E92</f>
        <v>327.26776000000001</v>
      </c>
      <c r="D92" s="467">
        <v>229.08736999999999</v>
      </c>
      <c r="E92" s="467">
        <v>98.180390000000003</v>
      </c>
    </row>
    <row r="93" spans="2:5" ht="15.75" x14ac:dyDescent="0.2">
      <c r="B93" s="468" t="s">
        <v>694</v>
      </c>
      <c r="C93" s="465">
        <f>+D93+E93</f>
        <v>2252.7719999999999</v>
      </c>
      <c r="D93" s="467">
        <v>1576.9404</v>
      </c>
      <c r="E93" s="467">
        <v>675.83159999999998</v>
      </c>
    </row>
    <row r="94" spans="2:5" ht="15.75" x14ac:dyDescent="0.2">
      <c r="B94" s="468" t="s">
        <v>693</v>
      </c>
      <c r="C94" s="465">
        <f>+D94+E94</f>
        <v>980.09325000000013</v>
      </c>
      <c r="D94" s="467">
        <v>707.14478000000008</v>
      </c>
      <c r="E94" s="467">
        <v>272.94846999999999</v>
      </c>
    </row>
    <row r="95" spans="2:5" ht="15.75" x14ac:dyDescent="0.2">
      <c r="B95" s="466" t="s">
        <v>696</v>
      </c>
      <c r="C95" s="465">
        <f>+C96+C97+C98</f>
        <v>3087.7702100000001</v>
      </c>
      <c r="D95" s="465">
        <f>+D96+D97+D98</f>
        <v>2430.7786099999998</v>
      </c>
      <c r="E95" s="465">
        <f>+E96+E97+E98</f>
        <v>656.99160000000006</v>
      </c>
    </row>
    <row r="96" spans="2:5" ht="15.75" x14ac:dyDescent="0.2">
      <c r="B96" s="468" t="s">
        <v>695</v>
      </c>
      <c r="C96" s="465">
        <f>+D96+E96</f>
        <v>1348.8481099999999</v>
      </c>
      <c r="D96" s="467">
        <v>1047.44731</v>
      </c>
      <c r="E96" s="467">
        <v>301.4008</v>
      </c>
    </row>
    <row r="97" spans="1:8" ht="15.75" x14ac:dyDescent="0.2">
      <c r="B97" s="468" t="s">
        <v>694</v>
      </c>
      <c r="C97" s="465">
        <f>+D97+E97</f>
        <v>1312.3526000000002</v>
      </c>
      <c r="D97" s="467">
        <v>1038.0542</v>
      </c>
      <c r="E97" s="467">
        <v>274.29840000000002</v>
      </c>
    </row>
    <row r="98" spans="1:8" ht="15.75" x14ac:dyDescent="0.2">
      <c r="B98" s="468" t="s">
        <v>693</v>
      </c>
      <c r="C98" s="465">
        <f>+D98+E98</f>
        <v>426.56949999999995</v>
      </c>
      <c r="D98" s="467">
        <v>345.27709999999996</v>
      </c>
      <c r="E98" s="467">
        <v>81.292400000000001</v>
      </c>
      <c r="H98">
        <v>1000</v>
      </c>
    </row>
    <row r="99" spans="1:8" ht="15.75" x14ac:dyDescent="0.2">
      <c r="B99" s="466" t="s">
        <v>126</v>
      </c>
      <c r="C99" s="465">
        <f>+C87+C91+C95</f>
        <v>21436.608090000002</v>
      </c>
      <c r="D99" s="465">
        <f>+D87+D91+D95</f>
        <v>15542.999999999998</v>
      </c>
      <c r="E99" s="465">
        <f>+E87+E91+E95</f>
        <v>5893.6080900000006</v>
      </c>
    </row>
    <row r="104" spans="1:8" x14ac:dyDescent="0.2">
      <c r="B104" s="464" t="s">
        <v>692</v>
      </c>
      <c r="C104" s="464" t="s">
        <v>591</v>
      </c>
      <c r="D104" s="464" t="s">
        <v>592</v>
      </c>
      <c r="E104" s="464" t="s">
        <v>593</v>
      </c>
    </row>
    <row r="105" spans="1:8" x14ac:dyDescent="0.2">
      <c r="B105" s="464" t="s">
        <v>691</v>
      </c>
      <c r="C105" s="464">
        <v>2121.1999999999998</v>
      </c>
      <c r="D105" s="464">
        <v>2121.1999999999998</v>
      </c>
      <c r="E105" s="464">
        <f>D105/C105*100</f>
        <v>100</v>
      </c>
    </row>
    <row r="106" spans="1:8" x14ac:dyDescent="0.2">
      <c r="B106" s="464" t="s">
        <v>690</v>
      </c>
      <c r="C106" s="464">
        <v>3157.9</v>
      </c>
      <c r="D106" s="464">
        <v>3157.9</v>
      </c>
      <c r="E106" s="464">
        <f>D106/C106*100</f>
        <v>100</v>
      </c>
    </row>
    <row r="107" spans="1:8" x14ac:dyDescent="0.2">
      <c r="B107" s="464" t="s">
        <v>689</v>
      </c>
      <c r="C107" s="464">
        <v>9001.7000000000007</v>
      </c>
      <c r="D107" s="464">
        <v>8948.6</v>
      </c>
      <c r="E107" s="463">
        <f>D107/C107*100</f>
        <v>99.410111423397794</v>
      </c>
    </row>
    <row r="108" spans="1:8" s="459" customFormat="1" x14ac:dyDescent="0.2">
      <c r="A108" s="462"/>
      <c r="B108" s="461" t="s">
        <v>641</v>
      </c>
      <c r="C108" s="461">
        <f>SUM(C105:C107)</f>
        <v>14280.800000000001</v>
      </c>
      <c r="D108" s="461">
        <f>SUM(D105:D107)</f>
        <v>14227.7</v>
      </c>
      <c r="E108" s="460">
        <f>D108/C108*100</f>
        <v>99.628172091199374</v>
      </c>
    </row>
    <row r="114" spans="3:10" ht="126" x14ac:dyDescent="0.2">
      <c r="C114" s="455" t="s">
        <v>688</v>
      </c>
      <c r="D114" s="455" t="s">
        <v>687</v>
      </c>
      <c r="E114" s="455" t="s">
        <v>686</v>
      </c>
      <c r="F114" s="455" t="s">
        <v>685</v>
      </c>
      <c r="G114" s="455" t="s">
        <v>678</v>
      </c>
    </row>
    <row r="115" spans="3:10" ht="15.75" x14ac:dyDescent="0.2">
      <c r="C115" s="458" t="s">
        <v>684</v>
      </c>
      <c r="D115" s="29">
        <v>3381.9266400000001</v>
      </c>
      <c r="E115" s="456"/>
      <c r="F115" s="29">
        <v>242.37179</v>
      </c>
      <c r="G115" s="456">
        <f>+D115+E115+F115</f>
        <v>3624.2984300000003</v>
      </c>
      <c r="I115" s="452"/>
      <c r="J115" s="453"/>
    </row>
    <row r="116" spans="3:10" ht="15.75" x14ac:dyDescent="0.2">
      <c r="C116" s="457" t="s">
        <v>683</v>
      </c>
      <c r="D116" s="29">
        <v>3330.00497</v>
      </c>
      <c r="E116" s="456"/>
      <c r="F116" s="29">
        <f>21.2918+111.4961</f>
        <v>132.78790000000001</v>
      </c>
      <c r="G116" s="456">
        <f>+D116+E116+F116</f>
        <v>3462.7928699999998</v>
      </c>
      <c r="I116" s="452"/>
      <c r="J116" s="453"/>
    </row>
    <row r="117" spans="3:10" ht="15.75" x14ac:dyDescent="0.2">
      <c r="C117" s="457" t="s">
        <v>682</v>
      </c>
      <c r="D117" s="29">
        <v>3417.0793600000002</v>
      </c>
      <c r="E117" s="29">
        <v>125.35543999999999</v>
      </c>
      <c r="F117" s="29">
        <f>173.27915+117.018</f>
        <v>290.29714999999999</v>
      </c>
      <c r="G117" s="456">
        <f>+D117+E117+F117</f>
        <v>3832.7319499999999</v>
      </c>
      <c r="I117" s="452"/>
      <c r="J117" s="453"/>
    </row>
    <row r="118" spans="3:10" ht="15.75" x14ac:dyDescent="0.2">
      <c r="C118" s="457" t="s">
        <v>681</v>
      </c>
      <c r="D118" s="29">
        <v>3013.9258799999998</v>
      </c>
      <c r="E118" s="29">
        <v>0</v>
      </c>
      <c r="F118" s="29">
        <v>135.39400000000001</v>
      </c>
      <c r="G118" s="456">
        <f>+D118+E118+F118</f>
        <v>3149.31988</v>
      </c>
      <c r="I118" s="452"/>
      <c r="J118" s="453"/>
    </row>
    <row r="119" spans="3:10" ht="15.75" x14ac:dyDescent="0.2">
      <c r="C119" s="457" t="s">
        <v>680</v>
      </c>
      <c r="D119" s="33">
        <v>2585.08511</v>
      </c>
      <c r="E119" s="29">
        <v>59.863790000000009</v>
      </c>
      <c r="F119" s="33">
        <f>112.13131+138.51</f>
        <v>250.64130999999998</v>
      </c>
      <c r="G119" s="456">
        <f>+D119+E119+F119</f>
        <v>2895.5902099999998</v>
      </c>
      <c r="I119" s="452"/>
      <c r="J119" s="453"/>
    </row>
    <row r="120" spans="3:10" ht="15.75" x14ac:dyDescent="0.2">
      <c r="C120" s="455" t="s">
        <v>641</v>
      </c>
      <c r="D120" s="454">
        <f>SUM(D115:D119)</f>
        <v>15728.021959999998</v>
      </c>
      <c r="E120" s="454">
        <f>SUM(E115:E119)</f>
        <v>185.21922999999998</v>
      </c>
      <c r="F120" s="454">
        <f>SUM(F115:F119)</f>
        <v>1051.49215</v>
      </c>
      <c r="G120" s="454">
        <f>SUM(G115:G119)</f>
        <v>16964.733339999999</v>
      </c>
      <c r="J120" s="453"/>
    </row>
    <row r="121" spans="3:10" x14ac:dyDescent="0.2">
      <c r="I121" s="452"/>
    </row>
    <row r="122" spans="3:10" x14ac:dyDescent="0.2">
      <c r="I122" s="452"/>
    </row>
    <row r="123" spans="3:10" x14ac:dyDescent="0.2">
      <c r="I123" s="452"/>
    </row>
    <row r="124" spans="3:10" x14ac:dyDescent="0.2">
      <c r="I124" s="451"/>
    </row>
    <row r="134" spans="2:8" ht="38.25" x14ac:dyDescent="0.2">
      <c r="B134" s="449" t="s">
        <v>0</v>
      </c>
      <c r="C134" s="449" t="s">
        <v>679</v>
      </c>
      <c r="D134" s="449" t="s">
        <v>589</v>
      </c>
      <c r="E134" s="450" t="s">
        <v>655</v>
      </c>
      <c r="F134" s="450" t="s">
        <v>593</v>
      </c>
    </row>
    <row r="135" spans="2:8" x14ac:dyDescent="0.2">
      <c r="B135" s="449" t="s">
        <v>678</v>
      </c>
      <c r="C135" s="449"/>
      <c r="D135" s="448">
        <f>SUM(D136:D149)</f>
        <v>466722.56299999997</v>
      </c>
      <c r="E135" s="448">
        <f>SUM(E136:E149)</f>
        <v>115869.25141999999</v>
      </c>
      <c r="F135" s="441">
        <f t="shared" ref="F135:F143" si="2">E135/D135*100</f>
        <v>24.826151681036254</v>
      </c>
      <c r="G135">
        <f>+'13+'!O20</f>
        <v>466722.56299999997</v>
      </c>
      <c r="H135">
        <f>+'13+'!P20</f>
        <v>115869.25141999999</v>
      </c>
    </row>
    <row r="136" spans="2:8" ht="25.5" x14ac:dyDescent="0.2">
      <c r="B136" s="444" t="str">
        <f>+'13+'!B21:F21</f>
        <v>Муниципальная программа "Социальная поддержка граждан в Овюрском кожууне"</v>
      </c>
      <c r="C136" s="447" t="s">
        <v>677</v>
      </c>
      <c r="D136" s="445">
        <f>+'13+'!O21</f>
        <v>54460.784</v>
      </c>
      <c r="E136" s="445">
        <f>+'13+'!P21</f>
        <v>13115.274249999999</v>
      </c>
      <c r="F136" s="441">
        <f t="shared" si="2"/>
        <v>24.082051866899306</v>
      </c>
    </row>
    <row r="137" spans="2:8" x14ac:dyDescent="0.2">
      <c r="B137" s="444" t="s">
        <v>676</v>
      </c>
      <c r="C137" s="443" t="s">
        <v>675</v>
      </c>
      <c r="D137" s="442">
        <f>+'13+'!O120</f>
        <v>206</v>
      </c>
      <c r="E137" s="442">
        <f>+'13+'!P120</f>
        <v>26</v>
      </c>
      <c r="F137" s="441">
        <f t="shared" si="2"/>
        <v>12.621359223300971</v>
      </c>
      <c r="G137" s="446">
        <f>G135-D135</f>
        <v>0</v>
      </c>
      <c r="H137" s="446">
        <f>H135-E135</f>
        <v>0</v>
      </c>
    </row>
    <row r="138" spans="2:8" ht="25.5" x14ac:dyDescent="0.2">
      <c r="B138" s="444" t="s">
        <v>91</v>
      </c>
      <c r="C138" s="443" t="s">
        <v>674</v>
      </c>
      <c r="D138" s="445">
        <f>+'13+'!O130</f>
        <v>2136</v>
      </c>
      <c r="E138" s="445">
        <f>+'13+'!P130</f>
        <v>115</v>
      </c>
      <c r="F138" s="441">
        <f t="shared" si="2"/>
        <v>5.3838951310861427</v>
      </c>
    </row>
    <row r="139" spans="2:8" ht="25.5" x14ac:dyDescent="0.2">
      <c r="B139" s="444" t="s">
        <v>64</v>
      </c>
      <c r="C139" s="443" t="s">
        <v>673</v>
      </c>
      <c r="D139" s="442">
        <f>+'13+'!O141</f>
        <v>5210.0200000000004</v>
      </c>
      <c r="E139" s="442">
        <f>+'13+'!P141</f>
        <v>25</v>
      </c>
      <c r="F139" s="441">
        <f t="shared" si="2"/>
        <v>0.47984460712242943</v>
      </c>
    </row>
    <row r="140" spans="2:8" ht="38.25" x14ac:dyDescent="0.2">
      <c r="B140" s="444" t="s">
        <v>672</v>
      </c>
      <c r="C140" s="443" t="s">
        <v>671</v>
      </c>
      <c r="D140" s="442">
        <f>+'13+'!O160</f>
        <v>1646.6</v>
      </c>
      <c r="E140" s="442">
        <f>+'13+'!P160</f>
        <v>81</v>
      </c>
      <c r="F140" s="441">
        <f t="shared" si="2"/>
        <v>4.9192274990890326</v>
      </c>
    </row>
    <row r="141" spans="2:8" ht="38.25" x14ac:dyDescent="0.2">
      <c r="B141" s="444" t="s">
        <v>670</v>
      </c>
      <c r="C141" s="443" t="s">
        <v>669</v>
      </c>
      <c r="D141" s="442">
        <f>+'13+'!O176</f>
        <v>226</v>
      </c>
      <c r="E141" s="442">
        <f>+'13+'!P176</f>
        <v>19.899999999999999</v>
      </c>
      <c r="F141" s="441">
        <f t="shared" si="2"/>
        <v>8.8053097345132745</v>
      </c>
    </row>
    <row r="142" spans="2:8" ht="25.5" x14ac:dyDescent="0.2">
      <c r="B142" s="444" t="s">
        <v>668</v>
      </c>
      <c r="C142" s="443" t="s">
        <v>667</v>
      </c>
      <c r="D142" s="445">
        <f>+'13+'!O181</f>
        <v>348404.75400000002</v>
      </c>
      <c r="E142" s="445">
        <f>+'13+'!P181</f>
        <v>88447.700899999982</v>
      </c>
      <c r="F142" s="441">
        <f t="shared" si="2"/>
        <v>25.38647934178303</v>
      </c>
    </row>
    <row r="143" spans="2:8" ht="25.5" x14ac:dyDescent="0.2">
      <c r="B143" s="444" t="s">
        <v>666</v>
      </c>
      <c r="C143" s="443" t="s">
        <v>665</v>
      </c>
      <c r="D143" s="442">
        <f>+'13+'!O268</f>
        <v>51452.305</v>
      </c>
      <c r="E143" s="442">
        <f>+'13+'!P268</f>
        <v>13697.876270000001</v>
      </c>
      <c r="F143" s="441">
        <f t="shared" si="2"/>
        <v>26.622473512119623</v>
      </c>
    </row>
    <row r="144" spans="2:8" ht="25.5" hidden="1" x14ac:dyDescent="0.2">
      <c r="B144" s="444" t="s">
        <v>86</v>
      </c>
      <c r="C144" s="443" t="s">
        <v>664</v>
      </c>
      <c r="D144" s="442">
        <v>0</v>
      </c>
      <c r="E144" s="442">
        <v>0</v>
      </c>
      <c r="F144" s="441" t="e">
        <f t="shared" ref="F144:F145" si="3">E144/D144*100</f>
        <v>#DIV/0!</v>
      </c>
    </row>
    <row r="145" spans="2:6" ht="25.5" x14ac:dyDescent="0.2">
      <c r="B145" s="444" t="s">
        <v>86</v>
      </c>
      <c r="C145" s="443" t="s">
        <v>664</v>
      </c>
      <c r="D145" s="442">
        <f>+'13+'!O336</f>
        <v>100</v>
      </c>
      <c r="E145" s="442">
        <f>+'13+'!P336</f>
        <v>93.5</v>
      </c>
      <c r="F145" s="441">
        <f t="shared" si="3"/>
        <v>93.5</v>
      </c>
    </row>
    <row r="146" spans="2:6" ht="63.75" x14ac:dyDescent="0.2">
      <c r="B146" s="444" t="s">
        <v>93</v>
      </c>
      <c r="C146" s="443" t="s">
        <v>663</v>
      </c>
      <c r="D146" s="442">
        <f>+'13+'!O342</f>
        <v>2675.1</v>
      </c>
      <c r="E146" s="442">
        <f>+'13+'!P342</f>
        <v>248</v>
      </c>
      <c r="F146" s="441">
        <f>E146/D146*100</f>
        <v>9.2706814698515956</v>
      </c>
    </row>
    <row r="147" spans="2:6" ht="38.25" x14ac:dyDescent="0.2">
      <c r="B147" s="444" t="s">
        <v>662</v>
      </c>
      <c r="C147" s="443" t="s">
        <v>661</v>
      </c>
      <c r="D147" s="442">
        <f>+'13+'!O354</f>
        <v>55</v>
      </c>
      <c r="E147" s="442">
        <f>+'13+'!P354</f>
        <v>0</v>
      </c>
      <c r="F147" s="441">
        <f>E147/D147*100</f>
        <v>0</v>
      </c>
    </row>
    <row r="148" spans="2:6" ht="89.25" x14ac:dyDescent="0.2">
      <c r="B148" s="444" t="s">
        <v>550</v>
      </c>
      <c r="C148" s="443" t="s">
        <v>756</v>
      </c>
      <c r="D148" s="442">
        <f>+'13+'!O359</f>
        <v>50</v>
      </c>
      <c r="E148" s="442">
        <f>+'13+'!P359</f>
        <v>0</v>
      </c>
      <c r="F148" s="441">
        <f t="shared" ref="F148:F149" si="4">E148/D148*100</f>
        <v>0</v>
      </c>
    </row>
    <row r="149" spans="2:6" ht="89.25" x14ac:dyDescent="0.2">
      <c r="B149" s="444" t="s">
        <v>552</v>
      </c>
      <c r="C149" s="443" t="s">
        <v>757</v>
      </c>
      <c r="D149" s="442">
        <f>+'13+'!O363</f>
        <v>100</v>
      </c>
      <c r="E149" s="442">
        <f>+'13+'!P363</f>
        <v>0</v>
      </c>
      <c r="F149" s="441">
        <f t="shared" si="4"/>
        <v>0</v>
      </c>
    </row>
  </sheetData>
  <mergeCells count="7">
    <mergeCell ref="A5:A6"/>
    <mergeCell ref="B5:B6"/>
    <mergeCell ref="C5:C6"/>
    <mergeCell ref="D5:D6"/>
    <mergeCell ref="B85:B86"/>
    <mergeCell ref="C85:C86"/>
    <mergeCell ref="D85:E85"/>
  </mergeCells>
  <pageMargins left="0.7" right="0.7" top="0.75" bottom="0.75" header="0.3" footer="0.3"/>
  <pageSetup paperSize="9" orientation="portrait" r:id="rId1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  <pageSetUpPr fitToPage="1"/>
  </sheetPr>
  <dimension ref="A1:Y22"/>
  <sheetViews>
    <sheetView tabSelected="1" view="pageBreakPreview" topLeftCell="M14" zoomScaleSheetLayoutView="100" workbookViewId="0">
      <selection sqref="A1:W19"/>
    </sheetView>
  </sheetViews>
  <sheetFormatPr defaultRowHeight="15" x14ac:dyDescent="0.2"/>
  <cols>
    <col min="1" max="1" width="67.28515625" style="557" customWidth="1"/>
    <col min="2" max="2" width="18" style="558" hidden="1" customWidth="1"/>
    <col min="3" max="3" width="15.85546875" style="558" hidden="1" customWidth="1"/>
    <col min="4" max="4" width="13.7109375" style="97" customWidth="1"/>
    <col min="5" max="5" width="12.7109375" style="97" customWidth="1"/>
    <col min="6" max="6" width="13.7109375" style="97" customWidth="1"/>
    <col min="7" max="8" width="14.28515625" style="97" customWidth="1"/>
    <col min="9" max="9" width="13.7109375" style="97" customWidth="1"/>
    <col min="10" max="11" width="14.28515625" style="97" customWidth="1"/>
    <col min="12" max="12" width="13.7109375" style="97" customWidth="1"/>
    <col min="13" max="14" width="14.28515625" style="97" customWidth="1"/>
    <col min="15" max="15" width="13.7109375" style="97" customWidth="1"/>
    <col min="16" max="16" width="14.28515625" style="97" customWidth="1"/>
    <col min="17" max="17" width="11.42578125" style="97" customWidth="1"/>
    <col min="18" max="18" width="13.7109375" style="97" customWidth="1"/>
    <col min="19" max="20" width="14.28515625" style="97" customWidth="1"/>
    <col min="21" max="21" width="13.7109375" style="97" customWidth="1"/>
    <col min="22" max="25" width="14.28515625" style="97" customWidth="1"/>
    <col min="26" max="259" width="9.140625" style="97"/>
    <col min="260" max="260" width="21.5703125" style="97" customWidth="1"/>
    <col min="261" max="261" width="67.28515625" style="97" customWidth="1"/>
    <col min="262" max="262" width="18" style="97" customWidth="1"/>
    <col min="263" max="515" width="9.140625" style="97"/>
    <col min="516" max="516" width="21.5703125" style="97" customWidth="1"/>
    <col min="517" max="517" width="67.28515625" style="97" customWidth="1"/>
    <col min="518" max="518" width="18" style="97" customWidth="1"/>
    <col min="519" max="771" width="9.140625" style="97"/>
    <col min="772" max="772" width="21.5703125" style="97" customWidth="1"/>
    <col min="773" max="773" width="67.28515625" style="97" customWidth="1"/>
    <col min="774" max="774" width="18" style="97" customWidth="1"/>
    <col min="775" max="1027" width="9.140625" style="97"/>
    <col min="1028" max="1028" width="21.5703125" style="97" customWidth="1"/>
    <col min="1029" max="1029" width="67.28515625" style="97" customWidth="1"/>
    <col min="1030" max="1030" width="18" style="97" customWidth="1"/>
    <col min="1031" max="1283" width="9.140625" style="97"/>
    <col min="1284" max="1284" width="21.5703125" style="97" customWidth="1"/>
    <col min="1285" max="1285" width="67.28515625" style="97" customWidth="1"/>
    <col min="1286" max="1286" width="18" style="97" customWidth="1"/>
    <col min="1287" max="1539" width="9.140625" style="97"/>
    <col min="1540" max="1540" width="21.5703125" style="97" customWidth="1"/>
    <col min="1541" max="1541" width="67.28515625" style="97" customWidth="1"/>
    <col min="1542" max="1542" width="18" style="97" customWidth="1"/>
    <col min="1543" max="1795" width="9.140625" style="97"/>
    <col min="1796" max="1796" width="21.5703125" style="97" customWidth="1"/>
    <col min="1797" max="1797" width="67.28515625" style="97" customWidth="1"/>
    <col min="1798" max="1798" width="18" style="97" customWidth="1"/>
    <col min="1799" max="2051" width="9.140625" style="97"/>
    <col min="2052" max="2052" width="21.5703125" style="97" customWidth="1"/>
    <col min="2053" max="2053" width="67.28515625" style="97" customWidth="1"/>
    <col min="2054" max="2054" width="18" style="97" customWidth="1"/>
    <col min="2055" max="2307" width="9.140625" style="97"/>
    <col min="2308" max="2308" width="21.5703125" style="97" customWidth="1"/>
    <col min="2309" max="2309" width="67.28515625" style="97" customWidth="1"/>
    <col min="2310" max="2310" width="18" style="97" customWidth="1"/>
    <col min="2311" max="2563" width="9.140625" style="97"/>
    <col min="2564" max="2564" width="21.5703125" style="97" customWidth="1"/>
    <col min="2565" max="2565" width="67.28515625" style="97" customWidth="1"/>
    <col min="2566" max="2566" width="18" style="97" customWidth="1"/>
    <col min="2567" max="2819" width="9.140625" style="97"/>
    <col min="2820" max="2820" width="21.5703125" style="97" customWidth="1"/>
    <col min="2821" max="2821" width="67.28515625" style="97" customWidth="1"/>
    <col min="2822" max="2822" width="18" style="97" customWidth="1"/>
    <col min="2823" max="3075" width="9.140625" style="97"/>
    <col min="3076" max="3076" width="21.5703125" style="97" customWidth="1"/>
    <col min="3077" max="3077" width="67.28515625" style="97" customWidth="1"/>
    <col min="3078" max="3078" width="18" style="97" customWidth="1"/>
    <col min="3079" max="3331" width="9.140625" style="97"/>
    <col min="3332" max="3332" width="21.5703125" style="97" customWidth="1"/>
    <col min="3333" max="3333" width="67.28515625" style="97" customWidth="1"/>
    <col min="3334" max="3334" width="18" style="97" customWidth="1"/>
    <col min="3335" max="3587" width="9.140625" style="97"/>
    <col min="3588" max="3588" width="21.5703125" style="97" customWidth="1"/>
    <col min="3589" max="3589" width="67.28515625" style="97" customWidth="1"/>
    <col min="3590" max="3590" width="18" style="97" customWidth="1"/>
    <col min="3591" max="3843" width="9.140625" style="97"/>
    <col min="3844" max="3844" width="21.5703125" style="97" customWidth="1"/>
    <col min="3845" max="3845" width="67.28515625" style="97" customWidth="1"/>
    <col min="3846" max="3846" width="18" style="97" customWidth="1"/>
    <col min="3847" max="4099" width="9.140625" style="97"/>
    <col min="4100" max="4100" width="21.5703125" style="97" customWidth="1"/>
    <col min="4101" max="4101" width="67.28515625" style="97" customWidth="1"/>
    <col min="4102" max="4102" width="18" style="97" customWidth="1"/>
    <col min="4103" max="4355" width="9.140625" style="97"/>
    <col min="4356" max="4356" width="21.5703125" style="97" customWidth="1"/>
    <col min="4357" max="4357" width="67.28515625" style="97" customWidth="1"/>
    <col min="4358" max="4358" width="18" style="97" customWidth="1"/>
    <col min="4359" max="4611" width="9.140625" style="97"/>
    <col min="4612" max="4612" width="21.5703125" style="97" customWidth="1"/>
    <col min="4613" max="4613" width="67.28515625" style="97" customWidth="1"/>
    <col min="4614" max="4614" width="18" style="97" customWidth="1"/>
    <col min="4615" max="4867" width="9.140625" style="97"/>
    <col min="4868" max="4868" width="21.5703125" style="97" customWidth="1"/>
    <col min="4869" max="4869" width="67.28515625" style="97" customWidth="1"/>
    <col min="4870" max="4870" width="18" style="97" customWidth="1"/>
    <col min="4871" max="5123" width="9.140625" style="97"/>
    <col min="5124" max="5124" width="21.5703125" style="97" customWidth="1"/>
    <col min="5125" max="5125" width="67.28515625" style="97" customWidth="1"/>
    <col min="5126" max="5126" width="18" style="97" customWidth="1"/>
    <col min="5127" max="5379" width="9.140625" style="97"/>
    <col min="5380" max="5380" width="21.5703125" style="97" customWidth="1"/>
    <col min="5381" max="5381" width="67.28515625" style="97" customWidth="1"/>
    <col min="5382" max="5382" width="18" style="97" customWidth="1"/>
    <col min="5383" max="5635" width="9.140625" style="97"/>
    <col min="5636" max="5636" width="21.5703125" style="97" customWidth="1"/>
    <col min="5637" max="5637" width="67.28515625" style="97" customWidth="1"/>
    <col min="5638" max="5638" width="18" style="97" customWidth="1"/>
    <col min="5639" max="5891" width="9.140625" style="97"/>
    <col min="5892" max="5892" width="21.5703125" style="97" customWidth="1"/>
    <col min="5893" max="5893" width="67.28515625" style="97" customWidth="1"/>
    <col min="5894" max="5894" width="18" style="97" customWidth="1"/>
    <col min="5895" max="6147" width="9.140625" style="97"/>
    <col min="6148" max="6148" width="21.5703125" style="97" customWidth="1"/>
    <col min="6149" max="6149" width="67.28515625" style="97" customWidth="1"/>
    <col min="6150" max="6150" width="18" style="97" customWidth="1"/>
    <col min="6151" max="6403" width="9.140625" style="97"/>
    <col min="6404" max="6404" width="21.5703125" style="97" customWidth="1"/>
    <col min="6405" max="6405" width="67.28515625" style="97" customWidth="1"/>
    <col min="6406" max="6406" width="18" style="97" customWidth="1"/>
    <col min="6407" max="6659" width="9.140625" style="97"/>
    <col min="6660" max="6660" width="21.5703125" style="97" customWidth="1"/>
    <col min="6661" max="6661" width="67.28515625" style="97" customWidth="1"/>
    <col min="6662" max="6662" width="18" style="97" customWidth="1"/>
    <col min="6663" max="6915" width="9.140625" style="97"/>
    <col min="6916" max="6916" width="21.5703125" style="97" customWidth="1"/>
    <col min="6917" max="6917" width="67.28515625" style="97" customWidth="1"/>
    <col min="6918" max="6918" width="18" style="97" customWidth="1"/>
    <col min="6919" max="7171" width="9.140625" style="97"/>
    <col min="7172" max="7172" width="21.5703125" style="97" customWidth="1"/>
    <col min="7173" max="7173" width="67.28515625" style="97" customWidth="1"/>
    <col min="7174" max="7174" width="18" style="97" customWidth="1"/>
    <col min="7175" max="7427" width="9.140625" style="97"/>
    <col min="7428" max="7428" width="21.5703125" style="97" customWidth="1"/>
    <col min="7429" max="7429" width="67.28515625" style="97" customWidth="1"/>
    <col min="7430" max="7430" width="18" style="97" customWidth="1"/>
    <col min="7431" max="7683" width="9.140625" style="97"/>
    <col min="7684" max="7684" width="21.5703125" style="97" customWidth="1"/>
    <col min="7685" max="7685" width="67.28515625" style="97" customWidth="1"/>
    <col min="7686" max="7686" width="18" style="97" customWidth="1"/>
    <col min="7687" max="7939" width="9.140625" style="97"/>
    <col min="7940" max="7940" width="21.5703125" style="97" customWidth="1"/>
    <col min="7941" max="7941" width="67.28515625" style="97" customWidth="1"/>
    <col min="7942" max="7942" width="18" style="97" customWidth="1"/>
    <col min="7943" max="8195" width="9.140625" style="97"/>
    <col min="8196" max="8196" width="21.5703125" style="97" customWidth="1"/>
    <col min="8197" max="8197" width="67.28515625" style="97" customWidth="1"/>
    <col min="8198" max="8198" width="18" style="97" customWidth="1"/>
    <col min="8199" max="8451" width="9.140625" style="97"/>
    <col min="8452" max="8452" width="21.5703125" style="97" customWidth="1"/>
    <col min="8453" max="8453" width="67.28515625" style="97" customWidth="1"/>
    <col min="8454" max="8454" width="18" style="97" customWidth="1"/>
    <col min="8455" max="8707" width="9.140625" style="97"/>
    <col min="8708" max="8708" width="21.5703125" style="97" customWidth="1"/>
    <col min="8709" max="8709" width="67.28515625" style="97" customWidth="1"/>
    <col min="8710" max="8710" width="18" style="97" customWidth="1"/>
    <col min="8711" max="8963" width="9.140625" style="97"/>
    <col min="8964" max="8964" width="21.5703125" style="97" customWidth="1"/>
    <col min="8965" max="8965" width="67.28515625" style="97" customWidth="1"/>
    <col min="8966" max="8966" width="18" style="97" customWidth="1"/>
    <col min="8967" max="9219" width="9.140625" style="97"/>
    <col min="9220" max="9220" width="21.5703125" style="97" customWidth="1"/>
    <col min="9221" max="9221" width="67.28515625" style="97" customWidth="1"/>
    <col min="9222" max="9222" width="18" style="97" customWidth="1"/>
    <col min="9223" max="9475" width="9.140625" style="97"/>
    <col min="9476" max="9476" width="21.5703125" style="97" customWidth="1"/>
    <col min="9477" max="9477" width="67.28515625" style="97" customWidth="1"/>
    <col min="9478" max="9478" width="18" style="97" customWidth="1"/>
    <col min="9479" max="9731" width="9.140625" style="97"/>
    <col min="9732" max="9732" width="21.5703125" style="97" customWidth="1"/>
    <col min="9733" max="9733" width="67.28515625" style="97" customWidth="1"/>
    <col min="9734" max="9734" width="18" style="97" customWidth="1"/>
    <col min="9735" max="9987" width="9.140625" style="97"/>
    <col min="9988" max="9988" width="21.5703125" style="97" customWidth="1"/>
    <col min="9989" max="9989" width="67.28515625" style="97" customWidth="1"/>
    <col min="9990" max="9990" width="18" style="97" customWidth="1"/>
    <col min="9991" max="10243" width="9.140625" style="97"/>
    <col min="10244" max="10244" width="21.5703125" style="97" customWidth="1"/>
    <col min="10245" max="10245" width="67.28515625" style="97" customWidth="1"/>
    <col min="10246" max="10246" width="18" style="97" customWidth="1"/>
    <col min="10247" max="10499" width="9.140625" style="97"/>
    <col min="10500" max="10500" width="21.5703125" style="97" customWidth="1"/>
    <col min="10501" max="10501" width="67.28515625" style="97" customWidth="1"/>
    <col min="10502" max="10502" width="18" style="97" customWidth="1"/>
    <col min="10503" max="10755" width="9.140625" style="97"/>
    <col min="10756" max="10756" width="21.5703125" style="97" customWidth="1"/>
    <col min="10757" max="10757" width="67.28515625" style="97" customWidth="1"/>
    <col min="10758" max="10758" width="18" style="97" customWidth="1"/>
    <col min="10759" max="11011" width="9.140625" style="97"/>
    <col min="11012" max="11012" width="21.5703125" style="97" customWidth="1"/>
    <col min="11013" max="11013" width="67.28515625" style="97" customWidth="1"/>
    <col min="11014" max="11014" width="18" style="97" customWidth="1"/>
    <col min="11015" max="11267" width="9.140625" style="97"/>
    <col min="11268" max="11268" width="21.5703125" style="97" customWidth="1"/>
    <col min="11269" max="11269" width="67.28515625" style="97" customWidth="1"/>
    <col min="11270" max="11270" width="18" style="97" customWidth="1"/>
    <col min="11271" max="11523" width="9.140625" style="97"/>
    <col min="11524" max="11524" width="21.5703125" style="97" customWidth="1"/>
    <col min="11525" max="11525" width="67.28515625" style="97" customWidth="1"/>
    <col min="11526" max="11526" width="18" style="97" customWidth="1"/>
    <col min="11527" max="11779" width="9.140625" style="97"/>
    <col min="11780" max="11780" width="21.5703125" style="97" customWidth="1"/>
    <col min="11781" max="11781" width="67.28515625" style="97" customWidth="1"/>
    <col min="11782" max="11782" width="18" style="97" customWidth="1"/>
    <col min="11783" max="12035" width="9.140625" style="97"/>
    <col min="12036" max="12036" width="21.5703125" style="97" customWidth="1"/>
    <col min="12037" max="12037" width="67.28515625" style="97" customWidth="1"/>
    <col min="12038" max="12038" width="18" style="97" customWidth="1"/>
    <col min="12039" max="12291" width="9.140625" style="97"/>
    <col min="12292" max="12292" width="21.5703125" style="97" customWidth="1"/>
    <col min="12293" max="12293" width="67.28515625" style="97" customWidth="1"/>
    <col min="12294" max="12294" width="18" style="97" customWidth="1"/>
    <col min="12295" max="12547" width="9.140625" style="97"/>
    <col min="12548" max="12548" width="21.5703125" style="97" customWidth="1"/>
    <col min="12549" max="12549" width="67.28515625" style="97" customWidth="1"/>
    <col min="12550" max="12550" width="18" style="97" customWidth="1"/>
    <col min="12551" max="12803" width="9.140625" style="97"/>
    <col min="12804" max="12804" width="21.5703125" style="97" customWidth="1"/>
    <col min="12805" max="12805" width="67.28515625" style="97" customWidth="1"/>
    <col min="12806" max="12806" width="18" style="97" customWidth="1"/>
    <col min="12807" max="13059" width="9.140625" style="97"/>
    <col min="13060" max="13060" width="21.5703125" style="97" customWidth="1"/>
    <col min="13061" max="13061" width="67.28515625" style="97" customWidth="1"/>
    <col min="13062" max="13062" width="18" style="97" customWidth="1"/>
    <col min="13063" max="13315" width="9.140625" style="97"/>
    <col min="13316" max="13316" width="21.5703125" style="97" customWidth="1"/>
    <col min="13317" max="13317" width="67.28515625" style="97" customWidth="1"/>
    <col min="13318" max="13318" width="18" style="97" customWidth="1"/>
    <col min="13319" max="13571" width="9.140625" style="97"/>
    <col min="13572" max="13572" width="21.5703125" style="97" customWidth="1"/>
    <col min="13573" max="13573" width="67.28515625" style="97" customWidth="1"/>
    <col min="13574" max="13574" width="18" style="97" customWidth="1"/>
    <col min="13575" max="13827" width="9.140625" style="97"/>
    <col min="13828" max="13828" width="21.5703125" style="97" customWidth="1"/>
    <col min="13829" max="13829" width="67.28515625" style="97" customWidth="1"/>
    <col min="13830" max="13830" width="18" style="97" customWidth="1"/>
    <col min="13831" max="14083" width="9.140625" style="97"/>
    <col min="14084" max="14084" width="21.5703125" style="97" customWidth="1"/>
    <col min="14085" max="14085" width="67.28515625" style="97" customWidth="1"/>
    <col min="14086" max="14086" width="18" style="97" customWidth="1"/>
    <col min="14087" max="14339" width="9.140625" style="97"/>
    <col min="14340" max="14340" width="21.5703125" style="97" customWidth="1"/>
    <col min="14341" max="14341" width="67.28515625" style="97" customWidth="1"/>
    <col min="14342" max="14342" width="18" style="97" customWidth="1"/>
    <col min="14343" max="14595" width="9.140625" style="97"/>
    <col min="14596" max="14596" width="21.5703125" style="97" customWidth="1"/>
    <col min="14597" max="14597" width="67.28515625" style="97" customWidth="1"/>
    <col min="14598" max="14598" width="18" style="97" customWidth="1"/>
    <col min="14599" max="14851" width="9.140625" style="97"/>
    <col min="14852" max="14852" width="21.5703125" style="97" customWidth="1"/>
    <col min="14853" max="14853" width="67.28515625" style="97" customWidth="1"/>
    <col min="14854" max="14854" width="18" style="97" customWidth="1"/>
    <col min="14855" max="15107" width="9.140625" style="97"/>
    <col min="15108" max="15108" width="21.5703125" style="97" customWidth="1"/>
    <col min="15109" max="15109" width="67.28515625" style="97" customWidth="1"/>
    <col min="15110" max="15110" width="18" style="97" customWidth="1"/>
    <col min="15111" max="15363" width="9.140625" style="97"/>
    <col min="15364" max="15364" width="21.5703125" style="97" customWidth="1"/>
    <col min="15365" max="15365" width="67.28515625" style="97" customWidth="1"/>
    <col min="15366" max="15366" width="18" style="97" customWidth="1"/>
    <col min="15367" max="15619" width="9.140625" style="97"/>
    <col min="15620" max="15620" width="21.5703125" style="97" customWidth="1"/>
    <col min="15621" max="15621" width="67.28515625" style="97" customWidth="1"/>
    <col min="15622" max="15622" width="18" style="97" customWidth="1"/>
    <col min="15623" max="15875" width="9.140625" style="97"/>
    <col min="15876" max="15876" width="21.5703125" style="97" customWidth="1"/>
    <col min="15877" max="15877" width="67.28515625" style="97" customWidth="1"/>
    <col min="15878" max="15878" width="18" style="97" customWidth="1"/>
    <col min="15879" max="16131" width="9.140625" style="97"/>
    <col min="16132" max="16132" width="21.5703125" style="97" customWidth="1"/>
    <col min="16133" max="16133" width="67.28515625" style="97" customWidth="1"/>
    <col min="16134" max="16134" width="18" style="97" customWidth="1"/>
    <col min="16135" max="16384" width="9.140625" style="97"/>
  </cols>
  <sheetData>
    <row r="1" spans="1:25" s="486" customFormat="1" ht="14.25" x14ac:dyDescent="0.2">
      <c r="A1" s="545" t="s">
        <v>758</v>
      </c>
      <c r="B1" s="546" t="s">
        <v>759</v>
      </c>
      <c r="C1" s="546"/>
      <c r="D1" s="545" t="s">
        <v>760</v>
      </c>
      <c r="E1" s="545"/>
      <c r="F1" s="545"/>
      <c r="G1" s="545" t="s">
        <v>278</v>
      </c>
      <c r="H1" s="545"/>
      <c r="I1" s="545"/>
      <c r="J1" s="547" t="s">
        <v>279</v>
      </c>
      <c r="K1" s="547"/>
      <c r="L1" s="547"/>
      <c r="M1" s="545" t="s">
        <v>281</v>
      </c>
      <c r="N1" s="545"/>
      <c r="O1" s="545"/>
      <c r="P1" s="545" t="s">
        <v>283</v>
      </c>
      <c r="Q1" s="545"/>
      <c r="R1" s="545"/>
      <c r="S1" s="545" t="s">
        <v>285</v>
      </c>
      <c r="T1" s="545"/>
      <c r="U1" s="545"/>
      <c r="V1" s="545" t="s">
        <v>126</v>
      </c>
      <c r="W1" s="545"/>
    </row>
    <row r="2" spans="1:25" s="486" customFormat="1" ht="32.25" customHeight="1" x14ac:dyDescent="0.2">
      <c r="A2" s="545"/>
      <c r="B2" s="548" t="s">
        <v>761</v>
      </c>
      <c r="C2" s="548" t="s">
        <v>762</v>
      </c>
      <c r="D2" s="5" t="s">
        <v>763</v>
      </c>
      <c r="E2" s="549" t="s">
        <v>764</v>
      </c>
      <c r="F2" s="549" t="s">
        <v>765</v>
      </c>
      <c r="G2" s="5" t="s">
        <v>763</v>
      </c>
      <c r="H2" s="549" t="s">
        <v>764</v>
      </c>
      <c r="I2" s="549" t="s">
        <v>765</v>
      </c>
      <c r="J2" s="5" t="s">
        <v>763</v>
      </c>
      <c r="K2" s="549" t="s">
        <v>764</v>
      </c>
      <c r="L2" s="549" t="s">
        <v>765</v>
      </c>
      <c r="M2" s="5" t="s">
        <v>763</v>
      </c>
      <c r="N2" s="549" t="s">
        <v>764</v>
      </c>
      <c r="O2" s="549" t="s">
        <v>765</v>
      </c>
      <c r="P2" s="5" t="s">
        <v>763</v>
      </c>
      <c r="Q2" s="549" t="s">
        <v>764</v>
      </c>
      <c r="R2" s="549" t="s">
        <v>765</v>
      </c>
      <c r="S2" s="5" t="s">
        <v>763</v>
      </c>
      <c r="T2" s="549" t="s">
        <v>764</v>
      </c>
      <c r="U2" s="549" t="s">
        <v>765</v>
      </c>
      <c r="V2" s="5" t="s">
        <v>763</v>
      </c>
      <c r="W2" s="549" t="s">
        <v>764</v>
      </c>
    </row>
    <row r="3" spans="1:25" s="122" customFormat="1" ht="33.75" customHeight="1" x14ac:dyDescent="0.2">
      <c r="A3" s="551" t="s">
        <v>766</v>
      </c>
      <c r="B3" s="550">
        <f>+'[3]5'!$C$67</f>
        <v>3480</v>
      </c>
      <c r="C3" s="550">
        <f>+'[3]5'!$D$67</f>
        <v>550</v>
      </c>
      <c r="D3" s="382">
        <v>296</v>
      </c>
      <c r="E3" s="382">
        <v>426.12</v>
      </c>
      <c r="F3" s="382">
        <f>E3/W3*100</f>
        <v>77.476363636363629</v>
      </c>
      <c r="G3" s="382">
        <v>42</v>
      </c>
      <c r="H3" s="382">
        <v>68.2</v>
      </c>
      <c r="I3" s="382">
        <f>H3/W3*100</f>
        <v>12.4</v>
      </c>
      <c r="J3" s="382">
        <v>17</v>
      </c>
      <c r="K3" s="382">
        <v>18.16</v>
      </c>
      <c r="L3" s="382">
        <f>K3/W3*100</f>
        <v>3.3018181818181822</v>
      </c>
      <c r="M3" s="382">
        <v>10</v>
      </c>
      <c r="N3" s="382">
        <v>17.399999999999999</v>
      </c>
      <c r="O3" s="382">
        <f>N3/W3*100</f>
        <v>3.1636363636363636</v>
      </c>
      <c r="P3" s="395">
        <v>9</v>
      </c>
      <c r="Q3" s="397">
        <v>11.2</v>
      </c>
      <c r="R3" s="382">
        <f>Q3/W3*100</f>
        <v>2.0363636363636362</v>
      </c>
      <c r="S3" s="395">
        <v>6</v>
      </c>
      <c r="T3" s="397">
        <v>8.92</v>
      </c>
      <c r="U3" s="382">
        <f>T3/W3*100</f>
        <v>1.6218181818181818</v>
      </c>
      <c r="V3" s="397">
        <f>+D3+G3+J3+M3+P3+S3</f>
        <v>380</v>
      </c>
      <c r="W3" s="397">
        <f>+E3+H3+K3+N3+Q3+T3</f>
        <v>550</v>
      </c>
      <c r="X3" s="554">
        <f>W3-C3</f>
        <v>0</v>
      </c>
    </row>
    <row r="4" spans="1:25" s="122" customFormat="1" ht="30" x14ac:dyDescent="0.2">
      <c r="A4" s="551" t="s">
        <v>291</v>
      </c>
      <c r="B4" s="550">
        <f>+'[3]5'!$C$70</f>
        <v>4407.8999999999996</v>
      </c>
      <c r="C4" s="550">
        <f>+'[3]5'!$D$70</f>
        <v>1081.8710000000001</v>
      </c>
      <c r="D4" s="382">
        <v>222</v>
      </c>
      <c r="E4" s="382">
        <v>588.12</v>
      </c>
      <c r="F4" s="382">
        <f t="shared" ref="F4:F16" si="0">E4/W4*100</f>
        <v>54.361379499034534</v>
      </c>
      <c r="G4" s="382">
        <v>56</v>
      </c>
      <c r="H4" s="382">
        <v>146.16</v>
      </c>
      <c r="I4" s="382">
        <f t="shared" ref="I4:I19" si="1">H4/W4*100</f>
        <v>13.509928632896157</v>
      </c>
      <c r="J4" s="382">
        <v>44</v>
      </c>
      <c r="K4" s="382">
        <v>114.84</v>
      </c>
      <c r="L4" s="382">
        <f t="shared" ref="L4:L19" si="2">K4/W4*100</f>
        <v>10.614943925846982</v>
      </c>
      <c r="M4" s="382">
        <v>44</v>
      </c>
      <c r="N4" s="382">
        <v>115.301</v>
      </c>
      <c r="O4" s="382">
        <f t="shared" ref="O4:O19" si="3">N4/W4*100</f>
        <v>10.657555290787903</v>
      </c>
      <c r="P4" s="397">
        <v>30</v>
      </c>
      <c r="Q4" s="397">
        <v>78.3</v>
      </c>
      <c r="R4" s="382">
        <f t="shared" ref="R4:R19" si="4">Q4/W4*100</f>
        <v>7.2374617676229409</v>
      </c>
      <c r="S4" s="397">
        <v>15</v>
      </c>
      <c r="T4" s="397">
        <v>39.15</v>
      </c>
      <c r="U4" s="382">
        <f t="shared" ref="U4:U19" si="5">T4/W4*100</f>
        <v>3.6187308838114705</v>
      </c>
      <c r="V4" s="397">
        <f t="shared" ref="V4:W18" si="6">+D4+G4+J4+M4+P4+S4</f>
        <v>411</v>
      </c>
      <c r="W4" s="397">
        <f t="shared" si="6"/>
        <v>1081.8710000000001</v>
      </c>
      <c r="X4" s="555">
        <f t="shared" ref="X4:X18" si="7">W4-C4</f>
        <v>0</v>
      </c>
    </row>
    <row r="5" spans="1:25" s="122" customFormat="1" ht="30" x14ac:dyDescent="0.2">
      <c r="A5" s="551" t="s">
        <v>292</v>
      </c>
      <c r="B5" s="550">
        <f>+'[3]5'!$C$71</f>
        <v>4386</v>
      </c>
      <c r="C5" s="550">
        <v>1127.3</v>
      </c>
      <c r="D5" s="382">
        <v>330</v>
      </c>
      <c r="E5" s="382">
        <f>561.984+0.26</f>
        <v>562.24400000000003</v>
      </c>
      <c r="F5" s="382">
        <f t="shared" si="0"/>
        <v>49.875277211035225</v>
      </c>
      <c r="G5" s="382">
        <v>76</v>
      </c>
      <c r="H5" s="382">
        <v>148.22399999999999</v>
      </c>
      <c r="I5" s="382">
        <f t="shared" si="1"/>
        <v>13.148585114876251</v>
      </c>
      <c r="J5" s="382">
        <v>81</v>
      </c>
      <c r="K5" s="382">
        <v>146.304</v>
      </c>
      <c r="L5" s="382">
        <f t="shared" si="2"/>
        <v>12.978266654838997</v>
      </c>
      <c r="M5" s="382">
        <v>63</v>
      </c>
      <c r="N5" s="382">
        <v>109.44</v>
      </c>
      <c r="O5" s="382">
        <f t="shared" si="3"/>
        <v>9.7081522221236582</v>
      </c>
      <c r="P5" s="397">
        <v>47</v>
      </c>
      <c r="Q5" s="382">
        <v>100.608</v>
      </c>
      <c r="R5" s="382">
        <f t="shared" si="4"/>
        <v>8.9246873059522773</v>
      </c>
      <c r="S5" s="397">
        <v>43</v>
      </c>
      <c r="T5" s="382">
        <v>60.48</v>
      </c>
      <c r="U5" s="382">
        <f t="shared" si="5"/>
        <v>5.3650314911736006</v>
      </c>
      <c r="V5" s="397">
        <f t="shared" si="6"/>
        <v>640</v>
      </c>
      <c r="W5" s="397">
        <f t="shared" si="6"/>
        <v>1127.3</v>
      </c>
      <c r="X5" s="555">
        <f>W5-C5</f>
        <v>0</v>
      </c>
    </row>
    <row r="6" spans="1:25" s="122" customFormat="1" ht="30" hidden="1" x14ac:dyDescent="0.2">
      <c r="A6" s="551" t="s">
        <v>295</v>
      </c>
      <c r="B6" s="550"/>
      <c r="C6" s="550"/>
      <c r="D6" s="382"/>
      <c r="E6" s="382"/>
      <c r="F6" s="382" t="e">
        <f t="shared" si="0"/>
        <v>#DIV/0!</v>
      </c>
      <c r="G6" s="382"/>
      <c r="H6" s="382"/>
      <c r="I6" s="382" t="e">
        <f t="shared" si="1"/>
        <v>#DIV/0!</v>
      </c>
      <c r="J6" s="382"/>
      <c r="K6" s="382"/>
      <c r="L6" s="382" t="e">
        <f t="shared" si="2"/>
        <v>#DIV/0!</v>
      </c>
      <c r="M6" s="382"/>
      <c r="N6" s="382"/>
      <c r="O6" s="382" t="e">
        <f t="shared" si="3"/>
        <v>#DIV/0!</v>
      </c>
      <c r="P6" s="397"/>
      <c r="Q6" s="397"/>
      <c r="R6" s="382" t="e">
        <f t="shared" si="4"/>
        <v>#DIV/0!</v>
      </c>
      <c r="S6" s="397"/>
      <c r="T6" s="397"/>
      <c r="U6" s="382" t="e">
        <f t="shared" si="5"/>
        <v>#DIV/0!</v>
      </c>
      <c r="V6" s="397">
        <f t="shared" si="6"/>
        <v>0</v>
      </c>
      <c r="W6" s="397">
        <f t="shared" si="6"/>
        <v>0</v>
      </c>
      <c r="X6" s="554">
        <f t="shared" si="7"/>
        <v>0</v>
      </c>
    </row>
    <row r="7" spans="1:25" s="122" customFormat="1" ht="30" x14ac:dyDescent="0.2">
      <c r="A7" s="551" t="s">
        <v>298</v>
      </c>
      <c r="B7" s="550">
        <f>+'[3]5'!$C$77</f>
        <v>106</v>
      </c>
      <c r="C7" s="552">
        <v>16.763819999999999</v>
      </c>
      <c r="D7" s="382">
        <v>1</v>
      </c>
      <c r="E7" s="382">
        <v>8.3819099999999995</v>
      </c>
      <c r="F7" s="382">
        <f t="shared" si="0"/>
        <v>50</v>
      </c>
      <c r="G7" s="382"/>
      <c r="H7" s="382"/>
      <c r="I7" s="382">
        <f t="shared" si="1"/>
        <v>0</v>
      </c>
      <c r="J7" s="382"/>
      <c r="K7" s="382"/>
      <c r="L7" s="382">
        <f t="shared" si="2"/>
        <v>0</v>
      </c>
      <c r="M7" s="382">
        <v>1</v>
      </c>
      <c r="N7" s="382">
        <v>8.3819099999999995</v>
      </c>
      <c r="O7" s="382">
        <f t="shared" si="3"/>
        <v>50</v>
      </c>
      <c r="P7" s="397"/>
      <c r="Q7" s="397"/>
      <c r="R7" s="382">
        <f t="shared" si="4"/>
        <v>0</v>
      </c>
      <c r="S7" s="397"/>
      <c r="T7" s="397"/>
      <c r="U7" s="382">
        <f t="shared" si="5"/>
        <v>0</v>
      </c>
      <c r="V7" s="397">
        <f t="shared" si="6"/>
        <v>2</v>
      </c>
      <c r="W7" s="397">
        <f t="shared" si="6"/>
        <v>16.763819999999999</v>
      </c>
      <c r="X7" s="554">
        <f t="shared" si="7"/>
        <v>0</v>
      </c>
    </row>
    <row r="8" spans="1:25" s="122" customFormat="1" ht="45" x14ac:dyDescent="0.2">
      <c r="A8" s="551" t="s">
        <v>299</v>
      </c>
      <c r="B8" s="550">
        <v>1226.5999999999999</v>
      </c>
      <c r="C8" s="550"/>
      <c r="D8" s="382"/>
      <c r="E8" s="382"/>
      <c r="F8" s="382" t="e">
        <f t="shared" si="0"/>
        <v>#DIV/0!</v>
      </c>
      <c r="G8" s="382"/>
      <c r="H8" s="382"/>
      <c r="I8" s="382" t="e">
        <f t="shared" si="1"/>
        <v>#DIV/0!</v>
      </c>
      <c r="J8" s="382"/>
      <c r="K8" s="382"/>
      <c r="L8" s="382" t="e">
        <f t="shared" si="2"/>
        <v>#DIV/0!</v>
      </c>
      <c r="M8" s="382"/>
      <c r="N8" s="382"/>
      <c r="O8" s="382" t="e">
        <f t="shared" si="3"/>
        <v>#DIV/0!</v>
      </c>
      <c r="P8" s="397"/>
      <c r="Q8" s="397"/>
      <c r="R8" s="382" t="e">
        <f t="shared" si="4"/>
        <v>#DIV/0!</v>
      </c>
      <c r="S8" s="397"/>
      <c r="T8" s="397"/>
      <c r="U8" s="382" t="e">
        <f t="shared" si="5"/>
        <v>#DIV/0!</v>
      </c>
      <c r="V8" s="397">
        <f t="shared" si="6"/>
        <v>0</v>
      </c>
      <c r="W8" s="397">
        <f t="shared" si="6"/>
        <v>0</v>
      </c>
      <c r="X8" s="554">
        <f t="shared" si="7"/>
        <v>0</v>
      </c>
    </row>
    <row r="9" spans="1:25" s="122" customFormat="1" ht="60" x14ac:dyDescent="0.2">
      <c r="A9" s="551" t="s">
        <v>261</v>
      </c>
      <c r="B9" s="550">
        <f>+'[3]5'!$C$84</f>
        <v>3701.2</v>
      </c>
      <c r="C9" s="550">
        <f>+'[3]5'!$D$84</f>
        <v>780</v>
      </c>
      <c r="D9" s="382">
        <v>265</v>
      </c>
      <c r="E9" s="382">
        <v>447.33300000000003</v>
      </c>
      <c r="F9" s="382">
        <f t="shared" si="0"/>
        <v>57.350384615384634</v>
      </c>
      <c r="G9" s="382">
        <v>111</v>
      </c>
      <c r="H9" s="382">
        <v>153.34899999999999</v>
      </c>
      <c r="I9" s="382">
        <f t="shared" si="1"/>
        <v>19.660128205128206</v>
      </c>
      <c r="J9" s="382">
        <v>52</v>
      </c>
      <c r="K9" s="382">
        <v>81.722999999999999</v>
      </c>
      <c r="L9" s="382">
        <f t="shared" si="2"/>
        <v>10.477307692307694</v>
      </c>
      <c r="M9" s="382">
        <v>28</v>
      </c>
      <c r="N9" s="382">
        <v>41.954000000000001</v>
      </c>
      <c r="O9" s="382">
        <f t="shared" si="3"/>
        <v>5.3787179487179495</v>
      </c>
      <c r="P9" s="397">
        <v>20</v>
      </c>
      <c r="Q9" s="397">
        <v>27.841999999999999</v>
      </c>
      <c r="R9" s="382">
        <f t="shared" si="4"/>
        <v>3.5694871794871794</v>
      </c>
      <c r="S9" s="397">
        <v>29</v>
      </c>
      <c r="T9" s="397">
        <v>27.798999999999999</v>
      </c>
      <c r="U9" s="382">
        <f t="shared" si="5"/>
        <v>3.5639743589743595</v>
      </c>
      <c r="V9" s="397">
        <f t="shared" si="6"/>
        <v>505</v>
      </c>
      <c r="W9" s="397">
        <f t="shared" si="6"/>
        <v>779.99999999999989</v>
      </c>
      <c r="X9" s="554">
        <f t="shared" si="7"/>
        <v>0</v>
      </c>
    </row>
    <row r="10" spans="1:25" s="122" customFormat="1" ht="30" x14ac:dyDescent="0.2">
      <c r="A10" s="551" t="s">
        <v>300</v>
      </c>
      <c r="B10" s="550">
        <v>1793</v>
      </c>
      <c r="C10" s="550"/>
      <c r="D10" s="382"/>
      <c r="E10" s="382"/>
      <c r="F10" s="382" t="e">
        <f t="shared" si="0"/>
        <v>#DIV/0!</v>
      </c>
      <c r="G10" s="382"/>
      <c r="H10" s="382"/>
      <c r="I10" s="382" t="e">
        <f t="shared" si="1"/>
        <v>#DIV/0!</v>
      </c>
      <c r="J10" s="382"/>
      <c r="K10" s="382"/>
      <c r="L10" s="382" t="e">
        <f t="shared" si="2"/>
        <v>#DIV/0!</v>
      </c>
      <c r="M10" s="382"/>
      <c r="N10" s="382"/>
      <c r="O10" s="382" t="e">
        <f t="shared" si="3"/>
        <v>#DIV/0!</v>
      </c>
      <c r="P10" s="397"/>
      <c r="Q10" s="397"/>
      <c r="R10" s="382" t="e">
        <f t="shared" si="4"/>
        <v>#DIV/0!</v>
      </c>
      <c r="S10" s="397"/>
      <c r="T10" s="397"/>
      <c r="U10" s="382" t="e">
        <f t="shared" si="5"/>
        <v>#DIV/0!</v>
      </c>
      <c r="V10" s="397">
        <f t="shared" si="6"/>
        <v>0</v>
      </c>
      <c r="W10" s="397">
        <f t="shared" si="6"/>
        <v>0</v>
      </c>
      <c r="X10" s="554">
        <f t="shared" si="7"/>
        <v>0</v>
      </c>
    </row>
    <row r="11" spans="1:25" s="122" customFormat="1" hidden="1" x14ac:dyDescent="0.2">
      <c r="A11" s="551"/>
      <c r="B11" s="553"/>
      <c r="C11" s="553"/>
      <c r="D11" s="382"/>
      <c r="E11" s="382"/>
      <c r="F11" s="382" t="e">
        <f t="shared" si="0"/>
        <v>#DIV/0!</v>
      </c>
      <c r="G11" s="382"/>
      <c r="H11" s="382"/>
      <c r="I11" s="382" t="e">
        <f t="shared" si="1"/>
        <v>#DIV/0!</v>
      </c>
      <c r="J11" s="382"/>
      <c r="K11" s="382"/>
      <c r="L11" s="382" t="e">
        <f t="shared" si="2"/>
        <v>#DIV/0!</v>
      </c>
      <c r="M11" s="382"/>
      <c r="N11" s="382"/>
      <c r="O11" s="382" t="e">
        <f t="shared" si="3"/>
        <v>#DIV/0!</v>
      </c>
      <c r="P11" s="397"/>
      <c r="Q11" s="397"/>
      <c r="R11" s="382" t="e">
        <f t="shared" si="4"/>
        <v>#DIV/0!</v>
      </c>
      <c r="S11" s="397"/>
      <c r="T11" s="397"/>
      <c r="U11" s="382" t="e">
        <f t="shared" si="5"/>
        <v>#DIV/0!</v>
      </c>
      <c r="V11" s="397">
        <f t="shared" si="6"/>
        <v>0</v>
      </c>
      <c r="W11" s="397">
        <f t="shared" si="6"/>
        <v>0</v>
      </c>
      <c r="X11" s="554">
        <f t="shared" si="7"/>
        <v>0</v>
      </c>
    </row>
    <row r="12" spans="1:25" s="122" customFormat="1" ht="45" hidden="1" x14ac:dyDescent="0.2">
      <c r="A12" s="551" t="s">
        <v>257</v>
      </c>
      <c r="B12" s="553"/>
      <c r="C12" s="553"/>
      <c r="D12" s="382"/>
      <c r="E12" s="382"/>
      <c r="F12" s="382" t="e">
        <f t="shared" si="0"/>
        <v>#DIV/0!</v>
      </c>
      <c r="G12" s="382"/>
      <c r="H12" s="382"/>
      <c r="I12" s="382" t="e">
        <f t="shared" si="1"/>
        <v>#DIV/0!</v>
      </c>
      <c r="J12" s="382"/>
      <c r="K12" s="382"/>
      <c r="L12" s="382" t="e">
        <f t="shared" si="2"/>
        <v>#DIV/0!</v>
      </c>
      <c r="M12" s="382"/>
      <c r="N12" s="382"/>
      <c r="O12" s="382" t="e">
        <f t="shared" si="3"/>
        <v>#DIV/0!</v>
      </c>
      <c r="P12" s="397"/>
      <c r="Q12" s="397"/>
      <c r="R12" s="382" t="e">
        <f t="shared" si="4"/>
        <v>#DIV/0!</v>
      </c>
      <c r="S12" s="397"/>
      <c r="T12" s="397"/>
      <c r="U12" s="382" t="e">
        <f t="shared" si="5"/>
        <v>#DIV/0!</v>
      </c>
      <c r="V12" s="397">
        <f t="shared" si="6"/>
        <v>0</v>
      </c>
      <c r="W12" s="397">
        <f t="shared" si="6"/>
        <v>0</v>
      </c>
      <c r="X12" s="554">
        <f t="shared" si="7"/>
        <v>0</v>
      </c>
    </row>
    <row r="13" spans="1:25" s="119" customFormat="1" ht="59.25" hidden="1" customHeight="1" x14ac:dyDescent="0.2">
      <c r="A13" s="551" t="s">
        <v>261</v>
      </c>
      <c r="B13" s="550"/>
      <c r="C13" s="550"/>
      <c r="D13" s="382"/>
      <c r="E13" s="382"/>
      <c r="F13" s="382" t="e">
        <f t="shared" si="0"/>
        <v>#DIV/0!</v>
      </c>
      <c r="G13" s="382"/>
      <c r="H13" s="382"/>
      <c r="I13" s="382" t="e">
        <f t="shared" si="1"/>
        <v>#DIV/0!</v>
      </c>
      <c r="J13" s="382"/>
      <c r="K13" s="382"/>
      <c r="L13" s="382" t="e">
        <f t="shared" si="2"/>
        <v>#DIV/0!</v>
      </c>
      <c r="M13" s="382"/>
      <c r="N13" s="382"/>
      <c r="O13" s="382" t="e">
        <f t="shared" si="3"/>
        <v>#DIV/0!</v>
      </c>
      <c r="P13" s="395"/>
      <c r="Q13" s="395"/>
      <c r="R13" s="382" t="e">
        <f t="shared" si="4"/>
        <v>#DIV/0!</v>
      </c>
      <c r="S13" s="395"/>
      <c r="T13" s="395"/>
      <c r="U13" s="382" t="e">
        <f t="shared" si="5"/>
        <v>#DIV/0!</v>
      </c>
      <c r="V13" s="397">
        <f t="shared" si="6"/>
        <v>0</v>
      </c>
      <c r="W13" s="397">
        <f t="shared" si="6"/>
        <v>0</v>
      </c>
      <c r="X13" s="554">
        <f t="shared" si="7"/>
        <v>0</v>
      </c>
    </row>
    <row r="14" spans="1:25" s="119" customFormat="1" ht="30" x14ac:dyDescent="0.2">
      <c r="A14" s="551" t="s">
        <v>153</v>
      </c>
      <c r="B14" s="550">
        <f>+'[3]5'!$C$85</f>
        <v>3055</v>
      </c>
      <c r="C14" s="550">
        <f>+'[3]5'!$D$85</f>
        <v>1536.45</v>
      </c>
      <c r="D14" s="382">
        <v>259</v>
      </c>
      <c r="E14" s="382">
        <v>729.07965999999999</v>
      </c>
      <c r="F14" s="382">
        <f t="shared" si="0"/>
        <v>47.452221679846396</v>
      </c>
      <c r="G14" s="382">
        <v>54</v>
      </c>
      <c r="H14" s="382">
        <v>144.80807999999999</v>
      </c>
      <c r="I14" s="382">
        <f t="shared" si="1"/>
        <v>9.4248481890071254</v>
      </c>
      <c r="J14" s="382">
        <v>59</v>
      </c>
      <c r="K14" s="382">
        <v>140.74987999999999</v>
      </c>
      <c r="L14" s="382">
        <f t="shared" si="2"/>
        <v>9.1607198411923587</v>
      </c>
      <c r="M14" s="382">
        <v>88</v>
      </c>
      <c r="N14" s="382">
        <v>248.29802000000001</v>
      </c>
      <c r="O14" s="382">
        <f t="shared" si="3"/>
        <v>16.160501155260505</v>
      </c>
      <c r="P14" s="395">
        <v>62</v>
      </c>
      <c r="Q14" s="395">
        <v>179.73384999999999</v>
      </c>
      <c r="R14" s="382">
        <f t="shared" si="4"/>
        <v>11.697995378957987</v>
      </c>
      <c r="S14" s="395">
        <v>33</v>
      </c>
      <c r="T14" s="395">
        <v>93.780510000000007</v>
      </c>
      <c r="U14" s="382">
        <f t="shared" si="5"/>
        <v>6.1037137557356242</v>
      </c>
      <c r="V14" s="397">
        <f t="shared" si="6"/>
        <v>555</v>
      </c>
      <c r="W14" s="397">
        <f t="shared" si="6"/>
        <v>1536.45</v>
      </c>
      <c r="X14" s="556">
        <f t="shared" si="7"/>
        <v>0</v>
      </c>
    </row>
    <row r="15" spans="1:25" s="119" customFormat="1" ht="90" x14ac:dyDescent="0.2">
      <c r="A15" s="551" t="s">
        <v>264</v>
      </c>
      <c r="B15" s="550">
        <f>+'[3]5'!$C$86</f>
        <v>20252.8</v>
      </c>
      <c r="C15" s="550">
        <v>4531.9534199999998</v>
      </c>
      <c r="D15" s="395">
        <v>84</v>
      </c>
      <c r="E15" s="395">
        <f>265.5+1823.36</f>
        <v>2088.8599999999997</v>
      </c>
      <c r="F15" s="382">
        <f t="shared" si="0"/>
        <v>46.091824130001747</v>
      </c>
      <c r="G15" s="395">
        <f>25+6</f>
        <v>31</v>
      </c>
      <c r="H15" s="395">
        <f>148.3+616</f>
        <v>764.3</v>
      </c>
      <c r="I15" s="382">
        <f t="shared" si="1"/>
        <v>16.864692311864047</v>
      </c>
      <c r="J15" s="395">
        <f>22</f>
        <v>22</v>
      </c>
      <c r="K15" s="395">
        <f>2*25.21+492.8</f>
        <v>543.22</v>
      </c>
      <c r="L15" s="382">
        <f t="shared" si="2"/>
        <v>11.986442702670143</v>
      </c>
      <c r="M15" s="395">
        <f>26</f>
        <v>26</v>
      </c>
      <c r="N15" s="395">
        <f>24.47+2*25.2+566.72</f>
        <v>641.59</v>
      </c>
      <c r="O15" s="382">
        <f t="shared" si="3"/>
        <v>14.157029884036184</v>
      </c>
      <c r="P15" s="395">
        <f>14</f>
        <v>14</v>
      </c>
      <c r="Q15" s="395">
        <f>2*25.21+295.68</f>
        <v>346.1</v>
      </c>
      <c r="R15" s="382">
        <f t="shared" si="4"/>
        <v>7.6368834346933774</v>
      </c>
      <c r="S15" s="395">
        <f>8</f>
        <v>8</v>
      </c>
      <c r="T15" s="395">
        <v>147.88342</v>
      </c>
      <c r="U15" s="382">
        <f t="shared" si="5"/>
        <v>3.263127536734479</v>
      </c>
      <c r="V15" s="397">
        <f t="shared" si="6"/>
        <v>185</v>
      </c>
      <c r="W15" s="397">
        <f t="shared" si="6"/>
        <v>4531.9534200000007</v>
      </c>
      <c r="X15" s="555">
        <f t="shared" si="7"/>
        <v>0</v>
      </c>
      <c r="Y15" s="119">
        <v>3190.9</v>
      </c>
    </row>
    <row r="16" spans="1:25" s="119" customFormat="1" ht="45" hidden="1" x14ac:dyDescent="0.2">
      <c r="A16" s="551" t="s">
        <v>266</v>
      </c>
      <c r="B16" s="550"/>
      <c r="C16" s="550"/>
      <c r="D16" s="395"/>
      <c r="E16" s="395"/>
      <c r="F16" s="382" t="e">
        <f t="shared" si="0"/>
        <v>#DIV/0!</v>
      </c>
      <c r="G16" s="395"/>
      <c r="H16" s="395"/>
      <c r="I16" s="382" t="e">
        <f t="shared" si="1"/>
        <v>#DIV/0!</v>
      </c>
      <c r="J16" s="395"/>
      <c r="K16" s="395"/>
      <c r="L16" s="382" t="e">
        <f t="shared" si="2"/>
        <v>#DIV/0!</v>
      </c>
      <c r="M16" s="395"/>
      <c r="N16" s="395"/>
      <c r="O16" s="382" t="e">
        <f t="shared" si="3"/>
        <v>#DIV/0!</v>
      </c>
      <c r="P16" s="395"/>
      <c r="Q16" s="395"/>
      <c r="R16" s="382" t="e">
        <f t="shared" si="4"/>
        <v>#DIV/0!</v>
      </c>
      <c r="S16" s="395"/>
      <c r="T16" s="395"/>
      <c r="U16" s="382" t="e">
        <f t="shared" si="5"/>
        <v>#DIV/0!</v>
      </c>
      <c r="V16" s="397">
        <f t="shared" si="6"/>
        <v>0</v>
      </c>
      <c r="W16" s="397">
        <f t="shared" si="6"/>
        <v>0</v>
      </c>
      <c r="X16" s="554">
        <f t="shared" si="7"/>
        <v>0</v>
      </c>
    </row>
    <row r="17" spans="1:24" s="119" customFormat="1" ht="47.25" customHeight="1" x14ac:dyDescent="0.2">
      <c r="A17" s="551" t="s">
        <v>767</v>
      </c>
      <c r="B17" s="550">
        <f>+'[3]5'!$C$89</f>
        <v>12658.1</v>
      </c>
      <c r="C17" s="550">
        <f>+'[3]5'!$D$89</f>
        <v>3190.9169999999999</v>
      </c>
      <c r="D17" s="395">
        <v>41</v>
      </c>
      <c r="E17" s="395">
        <f>1406.71+36.1</f>
        <v>1442.81</v>
      </c>
      <c r="F17" s="382">
        <f>E17/W17*100</f>
        <v>45.215971519274945</v>
      </c>
      <c r="G17" s="395">
        <v>13</v>
      </c>
      <c r="H17" s="395">
        <f>34.31*13</f>
        <v>446.03000000000003</v>
      </c>
      <c r="I17" s="382">
        <f t="shared" si="1"/>
        <v>13.978056554045374</v>
      </c>
      <c r="J17" s="395">
        <v>7</v>
      </c>
      <c r="K17" s="395">
        <f>34.31*7</f>
        <v>240.17000000000002</v>
      </c>
      <c r="L17" s="382">
        <f t="shared" si="2"/>
        <v>7.5266458367936631</v>
      </c>
      <c r="M17" s="395">
        <v>17</v>
      </c>
      <c r="N17" s="395">
        <f>17*34.31</f>
        <v>583.27</v>
      </c>
      <c r="O17" s="382">
        <f t="shared" si="3"/>
        <v>18.27899703221318</v>
      </c>
      <c r="P17" s="395">
        <v>6</v>
      </c>
      <c r="Q17" s="395">
        <f>34.31*6</f>
        <v>205.86</v>
      </c>
      <c r="R17" s="382">
        <f t="shared" si="4"/>
        <v>6.4514107172517114</v>
      </c>
      <c r="S17" s="395">
        <v>9</v>
      </c>
      <c r="T17" s="395">
        <f>30.31*9</f>
        <v>272.78999999999996</v>
      </c>
      <c r="U17" s="382">
        <f t="shared" si="5"/>
        <v>8.54891834042113</v>
      </c>
      <c r="V17" s="397">
        <f t="shared" si="6"/>
        <v>93</v>
      </c>
      <c r="W17" s="397">
        <f t="shared" si="6"/>
        <v>3190.93</v>
      </c>
      <c r="X17" s="554">
        <f t="shared" si="7"/>
        <v>1.2999999999919964E-2</v>
      </c>
    </row>
    <row r="18" spans="1:24" s="560" customFormat="1" ht="60" x14ac:dyDescent="0.2">
      <c r="A18" s="561" t="str">
        <f>+'[3]5'!$B$88</f>
        <v>Субвенции бюджетам муниципальных районов на осуществление ежемесячной денежной выплаты, назначаемой в случае рождения третьего ребенка или последующих детей до достижения ребенком возраста трех лет</v>
      </c>
      <c r="B18" s="562"/>
      <c r="C18" s="562">
        <f>+'[3]5'!$D$88</f>
        <v>184.80426</v>
      </c>
      <c r="D18" s="563">
        <v>4</v>
      </c>
      <c r="E18" s="559">
        <v>103.72413</v>
      </c>
      <c r="F18" s="564">
        <f>E18/W18*100</f>
        <v>56.126482149275134</v>
      </c>
      <c r="G18" s="565">
        <v>2</v>
      </c>
      <c r="H18" s="559">
        <v>55.879550000000002</v>
      </c>
      <c r="I18" s="564">
        <f t="shared" si="1"/>
        <v>30.237154706282205</v>
      </c>
      <c r="J18" s="565"/>
      <c r="K18" s="559"/>
      <c r="L18" s="564">
        <f t="shared" si="2"/>
        <v>0</v>
      </c>
      <c r="M18" s="565">
        <v>1</v>
      </c>
      <c r="N18" s="559">
        <v>25.200579999999999</v>
      </c>
      <c r="O18" s="564">
        <f t="shared" si="3"/>
        <v>13.636363144442665</v>
      </c>
      <c r="P18" s="565">
        <v>0</v>
      </c>
      <c r="Q18" s="565">
        <v>0</v>
      </c>
      <c r="R18" s="564">
        <f t="shared" si="4"/>
        <v>0</v>
      </c>
      <c r="S18" s="565"/>
      <c r="T18" s="559"/>
      <c r="U18" s="564">
        <f t="shared" si="5"/>
        <v>0</v>
      </c>
      <c r="V18" s="566">
        <f t="shared" si="6"/>
        <v>7</v>
      </c>
      <c r="W18" s="566">
        <f t="shared" si="6"/>
        <v>184.80426</v>
      </c>
      <c r="X18" s="555">
        <f t="shared" si="7"/>
        <v>0</v>
      </c>
    </row>
    <row r="19" spans="1:24" s="99" customFormat="1" x14ac:dyDescent="0.2">
      <c r="A19" s="549" t="s">
        <v>641</v>
      </c>
      <c r="B19" s="548"/>
      <c r="C19" s="548"/>
      <c r="D19" s="567">
        <f>SUM(D3:D18)</f>
        <v>1502</v>
      </c>
      <c r="E19" s="567">
        <f>SUM(E3:E18)</f>
        <v>6396.6726999999983</v>
      </c>
      <c r="F19" s="568">
        <f>E19/W19*100</f>
        <v>49.204900203441163</v>
      </c>
      <c r="G19" s="567">
        <f>SUM(G3:G18)</f>
        <v>385</v>
      </c>
      <c r="H19" s="567">
        <f>SUM(H3:H18)</f>
        <v>1926.95063</v>
      </c>
      <c r="I19" s="568">
        <f t="shared" si="1"/>
        <v>14.822614489265348</v>
      </c>
      <c r="J19" s="567">
        <f>SUM(J3:J18)</f>
        <v>282</v>
      </c>
      <c r="K19" s="567">
        <f>SUM(K3:K18)</f>
        <v>1285.1668800000002</v>
      </c>
      <c r="L19" s="568">
        <f t="shared" si="2"/>
        <v>9.8858439443318495</v>
      </c>
      <c r="M19" s="567">
        <f>SUM(M3:M18)</f>
        <v>278</v>
      </c>
      <c r="N19" s="567">
        <f>SUM(N3:N18)</f>
        <v>1790.8355100000001</v>
      </c>
      <c r="O19" s="568">
        <f t="shared" si="3"/>
        <v>13.775580943875507</v>
      </c>
      <c r="P19" s="567">
        <f>SUM(P3:P18)</f>
        <v>188</v>
      </c>
      <c r="Q19" s="567">
        <f>SUM(Q3:Q18)</f>
        <v>949.64385000000004</v>
      </c>
      <c r="R19" s="568">
        <f t="shared" si="4"/>
        <v>7.3049119533756448</v>
      </c>
      <c r="S19" s="567">
        <f>SUM(S3:S18)</f>
        <v>143</v>
      </c>
      <c r="T19" s="567">
        <f>SUM(T3:T18)</f>
        <v>650.80292999999995</v>
      </c>
      <c r="U19" s="568">
        <f t="shared" si="5"/>
        <v>5.0061484657104787</v>
      </c>
      <c r="V19" s="569">
        <f t="shared" ref="V19" si="8">+D19+G19+J19+M19+P19+S19</f>
        <v>2778</v>
      </c>
      <c r="W19" s="569">
        <f t="shared" ref="W19" si="9">+E19+H19+K19+N19+Q19+T19</f>
        <v>13000.0725</v>
      </c>
    </row>
    <row r="22" spans="1:24" x14ac:dyDescent="0.2">
      <c r="E22" s="97">
        <v>1000</v>
      </c>
    </row>
  </sheetData>
  <mergeCells count="9">
    <mergeCell ref="P1:R1"/>
    <mergeCell ref="S1:U1"/>
    <mergeCell ref="V1:W1"/>
    <mergeCell ref="A1:A2"/>
    <mergeCell ref="B1:C1"/>
    <mergeCell ref="D1:F1"/>
    <mergeCell ref="G1:I1"/>
    <mergeCell ref="J1:L1"/>
    <mergeCell ref="M1:O1"/>
  </mergeCells>
  <pageMargins left="0.51181102362204722" right="0.15748031496062992" top="0.43307086614173229" bottom="0.47244094488188981" header="0.15748031496062992" footer="0.15748031496062992"/>
  <pageSetup paperSize="9" scale="28" fitToHeight="0" orientation="portrait" useFirstPageNumber="1" r:id="rId1"/>
  <headerFooter alignWithMargins="0">
    <oddHeader>&amp;R&amp;P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15</vt:i4>
      </vt:variant>
      <vt:variant>
        <vt:lpstr>Именованные диапазоны</vt:lpstr>
      </vt:variant>
      <vt:variant>
        <vt:i4>17</vt:i4>
      </vt:variant>
    </vt:vector>
  </HeadingPairs>
  <TitlesOfParts>
    <vt:vector size="32" baseType="lpstr">
      <vt:lpstr>1</vt:lpstr>
      <vt:lpstr>5</vt:lpstr>
      <vt:lpstr>9</vt:lpstr>
      <vt:lpstr>11</vt:lpstr>
      <vt:lpstr>13+</vt:lpstr>
      <vt:lpstr>15</vt:lpstr>
      <vt:lpstr>16</vt:lpstr>
      <vt:lpstr>17</vt:lpstr>
      <vt:lpstr>18+</vt:lpstr>
      <vt:lpstr>19+</vt:lpstr>
      <vt:lpstr>20</vt:lpstr>
      <vt:lpstr>5 (2)</vt:lpstr>
      <vt:lpstr>резервный</vt:lpstr>
      <vt:lpstr>Лист2</vt:lpstr>
      <vt:lpstr>Пособии</vt:lpstr>
      <vt:lpstr>'11'!Заголовки_для_печати</vt:lpstr>
      <vt:lpstr>'13+'!Заголовки_для_печати</vt:lpstr>
      <vt:lpstr>'9'!Заголовки_для_печати</vt:lpstr>
      <vt:lpstr>'1'!Область_печати</vt:lpstr>
      <vt:lpstr>'11'!Область_печати</vt:lpstr>
      <vt:lpstr>'13+'!Область_печати</vt:lpstr>
      <vt:lpstr>'15'!Область_печати</vt:lpstr>
      <vt:lpstr>'16'!Область_печати</vt:lpstr>
      <vt:lpstr>'17'!Область_печати</vt:lpstr>
      <vt:lpstr>'18+'!Область_печати</vt:lpstr>
      <vt:lpstr>'19+'!Область_печати</vt:lpstr>
      <vt:lpstr>'20'!Область_печати</vt:lpstr>
      <vt:lpstr>'5'!Область_печати</vt:lpstr>
      <vt:lpstr>'5 (2)'!Область_печати</vt:lpstr>
      <vt:lpstr>'9'!Область_печати</vt:lpstr>
      <vt:lpstr>Пособии!Область_печати</vt:lpstr>
      <vt:lpstr>резервный!Область_печати</vt:lpstr>
    </vt:vector>
  </TitlesOfParts>
  <Company>*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XP GAME 2009</dc:creator>
  <cp:lastModifiedBy>2017</cp:lastModifiedBy>
  <cp:lastPrinted>2020-05-18T08:48:37Z</cp:lastPrinted>
  <dcterms:created xsi:type="dcterms:W3CDTF">2016-12-15T04:35:03Z</dcterms:created>
  <dcterms:modified xsi:type="dcterms:W3CDTF">2020-05-18T10:47:12Z</dcterms:modified>
</cp:coreProperties>
</file>